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818671985a4b1bef/ドキュメント/サブコ/夜間閉館/"/>
    </mc:Choice>
  </mc:AlternateContent>
  <xr:revisionPtr revIDLastSave="51" documentId="11_777156FC7E98EAFC107386A27220523335445168" xr6:coauthVersionLast="47" xr6:coauthVersionMax="47" xr10:uidLastSave="{D10268B3-51AC-4AFD-B6C1-389807B98D9F}"/>
  <workbookProtection workbookAlgorithmName="SHA-512" workbookHashValue="fNaso6QgThBL/MLSN/qFbcryKasrMNfGVUwIoh39b8VHRTk8IdfSfwEEKXPRiiSDmx9TXjibyKlab9R775EjSQ==" workbookSaltValue="A0xteqwbzrAS0H5jdFbz7A==" workbookSpinCount="100000" lockStructure="1"/>
  <bookViews>
    <workbookView xWindow="-120" yWindow="-120" windowWidth="24240" windowHeight="13020" activeTab="4" xr2:uid="{00000000-000D-0000-FFFF-FFFF00000000}"/>
  </bookViews>
  <sheets>
    <sheet name="使い方" sheetId="6" r:id="rId1"/>
    <sheet name="休館日・祝日" sheetId="5" r:id="rId2"/>
    <sheet name="入力表（利用申込のない夜間閉館）" sheetId="4" r:id="rId3"/>
    <sheet name="様式１（区への申請用）" sheetId="7" r:id="rId4"/>
    <sheet name="市民向け掲示カレンダー" sheetId="3" r:id="rId5"/>
  </sheets>
  <definedNames>
    <definedName name="_xlnm._FilterDatabase" localSheetId="2" hidden="1">'入力表（利用申込のない夜間閉館）'!$B$1:$J$1</definedName>
    <definedName name="_xlnm.Print_Area" localSheetId="1">休館日・祝日!$A$1:$G$25</definedName>
    <definedName name="_xlnm.Print_Area" localSheetId="0">使い方!$A$1:$L$105</definedName>
    <definedName name="_xlnm.Print_Area" localSheetId="4">市民向け掲示カレンダー!$A$2:$I$43</definedName>
    <definedName name="_xlnm.Print_Area" localSheetId="2">'入力表（利用申込のない夜間閉館）'!$A$1:$F$455</definedName>
    <definedName name="_xlnm.Print_Area" localSheetId="3">'様式１（区への申請用）'!$A$1:$F$492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5" l="1"/>
  <c r="F21" i="5"/>
  <c r="F20" i="5"/>
  <c r="F19" i="5"/>
  <c r="F18" i="5"/>
  <c r="F17" i="5"/>
  <c r="F16" i="5"/>
  <c r="F15" i="5"/>
  <c r="F14" i="5"/>
  <c r="F13" i="5"/>
  <c r="F12" i="5"/>
  <c r="B463" i="7"/>
  <c r="B462" i="7"/>
  <c r="B422" i="7"/>
  <c r="B421" i="7"/>
  <c r="B340" i="7"/>
  <c r="B339" i="7"/>
  <c r="B299" i="7"/>
  <c r="B298" i="7"/>
  <c r="B258" i="7"/>
  <c r="B257" i="7"/>
  <c r="B217" i="7"/>
  <c r="B216" i="7"/>
  <c r="B176" i="7"/>
  <c r="B175" i="7"/>
  <c r="B135" i="7"/>
  <c r="B134" i="7"/>
  <c r="B94" i="7"/>
  <c r="B93" i="7"/>
  <c r="B53" i="7"/>
  <c r="B52" i="7"/>
  <c r="F10" i="5"/>
  <c r="F11" i="5"/>
  <c r="B3" i="3" l="1"/>
  <c r="E458" i="7"/>
  <c r="A457" i="7"/>
  <c r="E417" i="7"/>
  <c r="A416" i="7"/>
  <c r="E376" i="7"/>
  <c r="A375" i="7"/>
  <c r="E335" i="7"/>
  <c r="A334" i="7"/>
  <c r="E294" i="7"/>
  <c r="A293" i="7"/>
  <c r="E253" i="7"/>
  <c r="A252" i="7"/>
  <c r="E212" i="7"/>
  <c r="A211" i="7"/>
  <c r="E171" i="7"/>
  <c r="A170" i="7"/>
  <c r="E130" i="7"/>
  <c r="A129" i="7"/>
  <c r="E89" i="7"/>
  <c r="A88" i="7"/>
  <c r="E48" i="7"/>
  <c r="A47" i="7"/>
  <c r="I419" i="4" l="1"/>
  <c r="I343" i="4"/>
  <c r="I305" i="4"/>
  <c r="I229" i="4"/>
  <c r="I153" i="4"/>
  <c r="I115" i="4"/>
  <c r="I39" i="4"/>
  <c r="I2" i="4"/>
  <c r="I11" i="7" l="1"/>
  <c r="I462" i="7"/>
  <c r="I380" i="7"/>
  <c r="I339" i="7"/>
  <c r="I257" i="7" l="1"/>
  <c r="I175" i="7"/>
  <c r="J175" i="7" s="1"/>
  <c r="I134" i="7"/>
  <c r="H418" i="4"/>
  <c r="H380" i="4"/>
  <c r="H342" i="4"/>
  <c r="H304" i="4"/>
  <c r="H266" i="4"/>
  <c r="H228" i="4"/>
  <c r="H190" i="4"/>
  <c r="H152" i="4"/>
  <c r="H114" i="4"/>
  <c r="H76" i="4"/>
  <c r="H38" i="4"/>
  <c r="J462" i="7"/>
  <c r="A456" i="7"/>
  <c r="A454" i="7"/>
  <c r="A452" i="7"/>
  <c r="A415" i="7"/>
  <c r="A413" i="7"/>
  <c r="A411" i="7"/>
  <c r="A374" i="7"/>
  <c r="A372" i="7"/>
  <c r="A370" i="7"/>
  <c r="A333" i="7"/>
  <c r="A331" i="7"/>
  <c r="A329" i="7"/>
  <c r="A292" i="7"/>
  <c r="A290" i="7"/>
  <c r="A288" i="7"/>
  <c r="A251" i="7"/>
  <c r="A249" i="7"/>
  <c r="A247" i="7"/>
  <c r="A210" i="7"/>
  <c r="A208" i="7"/>
  <c r="A206" i="7"/>
  <c r="A169" i="7"/>
  <c r="A167" i="7"/>
  <c r="A165" i="7"/>
  <c r="A128" i="7"/>
  <c r="A126" i="7"/>
  <c r="A124" i="7"/>
  <c r="D92" i="7"/>
  <c r="D133" i="7" s="1"/>
  <c r="D174" i="7" s="1"/>
  <c r="D215" i="7" s="1"/>
  <c r="D256" i="7" s="1"/>
  <c r="D297" i="7" s="1"/>
  <c r="D338" i="7" s="1"/>
  <c r="D379" i="7" s="1"/>
  <c r="D420" i="7" s="1"/>
  <c r="D461" i="7" s="1"/>
  <c r="H90" i="7"/>
  <c r="H131" i="7" s="1"/>
  <c r="H172" i="7" s="1"/>
  <c r="H213" i="7" s="1"/>
  <c r="H254" i="7" s="1"/>
  <c r="H295" i="7" s="1"/>
  <c r="H336" i="7" s="1"/>
  <c r="H377" i="7" s="1"/>
  <c r="H418" i="7" s="1"/>
  <c r="H459" i="7" s="1"/>
  <c r="A87" i="7"/>
  <c r="A85" i="7"/>
  <c r="A83" i="7"/>
  <c r="A81" i="7"/>
  <c r="A122" i="7" s="1"/>
  <c r="A163" i="7" s="1"/>
  <c r="A204" i="7" s="1"/>
  <c r="A245" i="7" s="1"/>
  <c r="A286" i="7" s="1"/>
  <c r="A327" i="7" s="1"/>
  <c r="A368" i="7" s="1"/>
  <c r="A409" i="7" s="1"/>
  <c r="A450" i="7" s="1"/>
  <c r="A491" i="7" s="1"/>
  <c r="E51" i="7"/>
  <c r="E92" i="7" s="1"/>
  <c r="E133" i="7" s="1"/>
  <c r="E174" i="7" s="1"/>
  <c r="E215" i="7" s="1"/>
  <c r="E256" i="7" s="1"/>
  <c r="E297" i="7" s="1"/>
  <c r="E338" i="7" s="1"/>
  <c r="E379" i="7" s="1"/>
  <c r="E420" i="7" s="1"/>
  <c r="E461" i="7" s="1"/>
  <c r="D51" i="7"/>
  <c r="B51" i="7"/>
  <c r="B92" i="7" s="1"/>
  <c r="B133" i="7" s="1"/>
  <c r="B174" i="7" s="1"/>
  <c r="B215" i="7" s="1"/>
  <c r="B256" i="7" s="1"/>
  <c r="B297" i="7" s="1"/>
  <c r="B338" i="7" s="1"/>
  <c r="B379" i="7" s="1"/>
  <c r="B420" i="7" s="1"/>
  <c r="B461" i="7" s="1"/>
  <c r="I52" i="7"/>
  <c r="J52" i="7" s="1"/>
  <c r="H50" i="7"/>
  <c r="H91" i="7" s="1"/>
  <c r="H132" i="7" s="1"/>
  <c r="H173" i="7" s="1"/>
  <c r="H214" i="7" s="1"/>
  <c r="H255" i="7" s="1"/>
  <c r="H296" i="7" s="1"/>
  <c r="H337" i="7" s="1"/>
  <c r="H378" i="7" s="1"/>
  <c r="H419" i="7" s="1"/>
  <c r="H460" i="7" s="1"/>
  <c r="H49" i="7"/>
  <c r="A50" i="7"/>
  <c r="A91" i="7" s="1"/>
  <c r="A132" i="7" s="1"/>
  <c r="A173" i="7" s="1"/>
  <c r="A214" i="7" s="1"/>
  <c r="A255" i="7" s="1"/>
  <c r="A296" i="7" s="1"/>
  <c r="A337" i="7" s="1"/>
  <c r="A378" i="7" s="1"/>
  <c r="A419" i="7" s="1"/>
  <c r="A460" i="7" s="1"/>
  <c r="A46" i="7"/>
  <c r="A44" i="7"/>
  <c r="A42" i="7"/>
  <c r="I463" i="7"/>
  <c r="D462" i="7" l="1"/>
  <c r="J463" i="7"/>
  <c r="D463" i="7" s="1"/>
  <c r="J380" i="7"/>
  <c r="J339" i="7"/>
  <c r="J257" i="7"/>
  <c r="J134" i="7"/>
  <c r="J11" i="7"/>
  <c r="I12" i="7"/>
  <c r="I340" i="7"/>
  <c r="I176" i="7"/>
  <c r="I258" i="7"/>
  <c r="I53" i="7"/>
  <c r="I381" i="7"/>
  <c r="I135" i="7"/>
  <c r="J53" i="7" l="1"/>
  <c r="D380" i="7"/>
  <c r="D339" i="7"/>
  <c r="D11" i="7"/>
  <c r="J176" i="7"/>
  <c r="J12" i="7"/>
  <c r="B17" i="3"/>
  <c r="B6" i="4"/>
  <c r="I464" i="7"/>
  <c r="J464" i="7" l="1"/>
  <c r="D464" i="7" s="1"/>
  <c r="J381" i="7"/>
  <c r="J340" i="7"/>
  <c r="J258" i="7"/>
  <c r="J135" i="7"/>
  <c r="I13" i="7"/>
  <c r="I177" i="7"/>
  <c r="I54" i="7"/>
  <c r="D381" i="7" l="1"/>
  <c r="D340" i="7"/>
  <c r="J177" i="7"/>
  <c r="J54" i="7"/>
  <c r="J13" i="7"/>
  <c r="B418" i="4"/>
  <c r="B380" i="4"/>
  <c r="I382" i="7"/>
  <c r="I136" i="7"/>
  <c r="I465" i="7"/>
  <c r="I341" i="7"/>
  <c r="I259" i="7"/>
  <c r="J465" i="7" l="1"/>
  <c r="D465" i="7" s="1"/>
  <c r="J382" i="7"/>
  <c r="J341" i="7"/>
  <c r="J259" i="7"/>
  <c r="J136" i="7"/>
  <c r="F9" i="5"/>
  <c r="F8" i="5"/>
  <c r="F7" i="5"/>
  <c r="F6" i="5"/>
  <c r="F5" i="5"/>
  <c r="I55" i="7"/>
  <c r="I14" i="7"/>
  <c r="I178" i="7"/>
  <c r="D382" i="7" l="1"/>
  <c r="D341" i="7"/>
  <c r="J178" i="7"/>
  <c r="J55" i="7"/>
  <c r="J14" i="7"/>
  <c r="B342" i="4"/>
  <c r="B304" i="4"/>
  <c r="B266" i="4"/>
  <c r="B228" i="4"/>
  <c r="B190" i="4"/>
  <c r="B152" i="4"/>
  <c r="B114" i="4"/>
  <c r="B76" i="4"/>
  <c r="B38" i="4"/>
  <c r="I383" i="7"/>
  <c r="I137" i="7"/>
  <c r="I466" i="7"/>
  <c r="I260" i="7"/>
  <c r="I342" i="7"/>
  <c r="J466" i="7" l="1"/>
  <c r="D466" i="7" s="1"/>
  <c r="J383" i="7"/>
  <c r="J342" i="7"/>
  <c r="J260" i="7"/>
  <c r="J137" i="7"/>
  <c r="B348" i="4"/>
  <c r="B424" i="4"/>
  <c r="B386" i="4"/>
  <c r="B310" i="4"/>
  <c r="B196" i="4"/>
  <c r="B158" i="4"/>
  <c r="B120" i="4"/>
  <c r="D134" i="7" s="1"/>
  <c r="B82" i="4"/>
  <c r="B44" i="4"/>
  <c r="D52" i="7" s="1"/>
  <c r="H1" i="4"/>
  <c r="I179" i="7"/>
  <c r="I15" i="7"/>
  <c r="I56" i="7"/>
  <c r="J15" i="7" l="1"/>
  <c r="D383" i="7"/>
  <c r="D342" i="7"/>
  <c r="J179" i="7"/>
  <c r="J56" i="7"/>
  <c r="B387" i="4"/>
  <c r="B425" i="4"/>
  <c r="B197" i="4"/>
  <c r="B83" i="4"/>
  <c r="B311" i="4"/>
  <c r="B159" i="4"/>
  <c r="B45" i="4"/>
  <c r="D53" i="7" s="1"/>
  <c r="C348" i="4"/>
  <c r="B121" i="4"/>
  <c r="B234" i="4"/>
  <c r="B272" i="4"/>
  <c r="C310" i="4"/>
  <c r="B349" i="4"/>
  <c r="C386" i="4"/>
  <c r="C196" i="4"/>
  <c r="C159" i="4"/>
  <c r="C158" i="4"/>
  <c r="C120" i="4"/>
  <c r="C82" i="4"/>
  <c r="C44" i="4"/>
  <c r="C425" i="4"/>
  <c r="C424" i="4"/>
  <c r="I384" i="7"/>
  <c r="I138" i="7"/>
  <c r="I467" i="7"/>
  <c r="I343" i="7"/>
  <c r="I261" i="7"/>
  <c r="J467" i="7" l="1"/>
  <c r="D467" i="7" s="1"/>
  <c r="J384" i="7"/>
  <c r="J343" i="7"/>
  <c r="J261" i="7"/>
  <c r="J138" i="7"/>
  <c r="B388" i="4"/>
  <c r="C388" i="4" s="1"/>
  <c r="C83" i="4"/>
  <c r="C387" i="4"/>
  <c r="C197" i="4"/>
  <c r="C121" i="4"/>
  <c r="C311" i="4"/>
  <c r="B426" i="4"/>
  <c r="B273" i="4"/>
  <c r="B122" i="4"/>
  <c r="D135" i="7" s="1"/>
  <c r="B46" i="4"/>
  <c r="B312" i="4"/>
  <c r="B198" i="4"/>
  <c r="B160" i="4"/>
  <c r="B84" i="4"/>
  <c r="C84" i="4" s="1"/>
  <c r="B350" i="4"/>
  <c r="C234" i="4"/>
  <c r="B235" i="4"/>
  <c r="D257" i="7" s="1"/>
  <c r="C272" i="4"/>
  <c r="C349" i="4"/>
  <c r="B7" i="4"/>
  <c r="D12" i="7" s="1"/>
  <c r="C6" i="4"/>
  <c r="I16" i="7"/>
  <c r="I57" i="7"/>
  <c r="I180" i="7"/>
  <c r="J16" i="7" l="1"/>
  <c r="D384" i="7"/>
  <c r="D343" i="7"/>
  <c r="J180" i="7"/>
  <c r="J57" i="7"/>
  <c r="C350" i="4"/>
  <c r="C312" i="4"/>
  <c r="C235" i="4"/>
  <c r="C160" i="4"/>
  <c r="C122" i="4"/>
  <c r="B427" i="4"/>
  <c r="C427" i="4" s="1"/>
  <c r="C426" i="4"/>
  <c r="C273" i="4"/>
  <c r="B389" i="4"/>
  <c r="B236" i="4"/>
  <c r="B85" i="4"/>
  <c r="B199" i="4"/>
  <c r="C198" i="4"/>
  <c r="B47" i="4"/>
  <c r="B274" i="4"/>
  <c r="B351" i="4"/>
  <c r="B161" i="4"/>
  <c r="D175" i="7" s="1"/>
  <c r="B313" i="4"/>
  <c r="B123" i="4"/>
  <c r="B8" i="4"/>
  <c r="D13" i="7" s="1"/>
  <c r="A4" i="5"/>
  <c r="I139" i="7"/>
  <c r="I468" i="7"/>
  <c r="I344" i="7"/>
  <c r="I262" i="7"/>
  <c r="I385" i="7"/>
  <c r="B7" i="5" l="1"/>
  <c r="B6" i="5"/>
  <c r="B15" i="5"/>
  <c r="B14" i="5"/>
  <c r="B16" i="5"/>
  <c r="B12" i="5"/>
  <c r="B8" i="5"/>
  <c r="B10" i="5"/>
  <c r="B13" i="5"/>
  <c r="B11" i="5"/>
  <c r="B5" i="5"/>
  <c r="B9" i="5"/>
  <c r="A17" i="5"/>
  <c r="J468" i="7"/>
  <c r="D468" i="7" s="1"/>
  <c r="J385" i="7"/>
  <c r="J344" i="7"/>
  <c r="J262" i="7"/>
  <c r="J139" i="7"/>
  <c r="C313" i="4"/>
  <c r="B390" i="4"/>
  <c r="C389" i="4"/>
  <c r="C161" i="4"/>
  <c r="C123" i="4"/>
  <c r="C85" i="4"/>
  <c r="B428" i="4"/>
  <c r="C428" i="4" s="1"/>
  <c r="B200" i="4"/>
  <c r="C199" i="4"/>
  <c r="B314" i="4"/>
  <c r="B48" i="4"/>
  <c r="B86" i="4"/>
  <c r="C86" i="4" s="1"/>
  <c r="B237" i="4"/>
  <c r="C236" i="4"/>
  <c r="B352" i="4"/>
  <c r="C351" i="4"/>
  <c r="B124" i="4"/>
  <c r="B162" i="4"/>
  <c r="D176" i="7" s="1"/>
  <c r="B275" i="4"/>
  <c r="C274" i="4"/>
  <c r="B9" i="4"/>
  <c r="D14" i="7" s="1"/>
  <c r="C17" i="3"/>
  <c r="I58" i="7"/>
  <c r="I181" i="7"/>
  <c r="I17" i="7"/>
  <c r="J17" i="7" l="1"/>
  <c r="B20" i="5"/>
  <c r="B19" i="5"/>
  <c r="B18" i="5"/>
  <c r="B23" i="5"/>
  <c r="B21" i="5"/>
  <c r="B22" i="5"/>
  <c r="D385" i="7"/>
  <c r="D344" i="7"/>
  <c r="J181" i="7"/>
  <c r="J58" i="7"/>
  <c r="B391" i="4"/>
  <c r="C391" i="4" s="1"/>
  <c r="C314" i="4"/>
  <c r="C124" i="4"/>
  <c r="C390" i="4"/>
  <c r="B429" i="4"/>
  <c r="C429" i="4" s="1"/>
  <c r="B163" i="4"/>
  <c r="B238" i="4"/>
  <c r="C237" i="4"/>
  <c r="B353" i="4"/>
  <c r="B276" i="4"/>
  <c r="C275" i="4"/>
  <c r="B125" i="4"/>
  <c r="B87" i="4"/>
  <c r="B315" i="4"/>
  <c r="B49" i="4"/>
  <c r="B201" i="4"/>
  <c r="C200" i="4"/>
  <c r="C352" i="4"/>
  <c r="C162" i="4"/>
  <c r="B10" i="4"/>
  <c r="D17" i="3"/>
  <c r="I386" i="7"/>
  <c r="I263" i="7"/>
  <c r="I469" i="7"/>
  <c r="I140" i="7"/>
  <c r="I345" i="7"/>
  <c r="D85" i="4" l="1"/>
  <c r="F85" i="4" s="1"/>
  <c r="J469" i="7"/>
  <c r="D469" i="7" s="1"/>
  <c r="J386" i="7"/>
  <c r="J345" i="7"/>
  <c r="J263" i="7"/>
  <c r="J140" i="7"/>
  <c r="D235" i="4"/>
  <c r="F235" i="4" s="1"/>
  <c r="D311" i="4"/>
  <c r="F311" i="4" s="1"/>
  <c r="D424" i="4"/>
  <c r="F424" i="4" s="1"/>
  <c r="D82" i="4"/>
  <c r="F82" i="4" s="1"/>
  <c r="D200" i="4"/>
  <c r="F200" i="4" s="1"/>
  <c r="D427" i="4"/>
  <c r="F427" i="4" s="1"/>
  <c r="D350" i="4"/>
  <c r="F350" i="4" s="1"/>
  <c r="D388" i="4"/>
  <c r="F388" i="4" s="1"/>
  <c r="D121" i="4"/>
  <c r="F121" i="4" s="1"/>
  <c r="D83" i="4"/>
  <c r="F83" i="4" s="1"/>
  <c r="D348" i="4"/>
  <c r="F348" i="4" s="1"/>
  <c r="D390" i="4"/>
  <c r="F390" i="4" s="1"/>
  <c r="D123" i="4"/>
  <c r="F123" i="4" s="1"/>
  <c r="D86" i="4"/>
  <c r="F86" i="4" s="1"/>
  <c r="D313" i="4"/>
  <c r="F313" i="4" s="1"/>
  <c r="D237" i="4"/>
  <c r="F237" i="4" s="1"/>
  <c r="D273" i="4"/>
  <c r="F273" i="4" s="1"/>
  <c r="D198" i="4"/>
  <c r="F198" i="4" s="1"/>
  <c r="D272" i="4"/>
  <c r="F272" i="4" s="1"/>
  <c r="D234" i="4"/>
  <c r="F234" i="4" s="1"/>
  <c r="D196" i="4"/>
  <c r="F196" i="4" s="1"/>
  <c r="D44" i="4"/>
  <c r="F44" i="4" s="1"/>
  <c r="D314" i="4"/>
  <c r="F314" i="4" s="1"/>
  <c r="D391" i="4"/>
  <c r="F391" i="4" s="1"/>
  <c r="B392" i="4"/>
  <c r="D236" i="4"/>
  <c r="F236" i="4" s="1"/>
  <c r="D389" i="4"/>
  <c r="F389" i="4" s="1"/>
  <c r="D429" i="4"/>
  <c r="F429" i="4" s="1"/>
  <c r="B430" i="4"/>
  <c r="C430" i="4" s="1"/>
  <c r="D274" i="4"/>
  <c r="F274" i="4" s="1"/>
  <c r="D426" i="4"/>
  <c r="F426" i="4" s="1"/>
  <c r="D84" i="4"/>
  <c r="F84" i="4" s="1"/>
  <c r="D425" i="4"/>
  <c r="F425" i="4" s="1"/>
  <c r="D310" i="4"/>
  <c r="F310" i="4" s="1"/>
  <c r="D162" i="4"/>
  <c r="F162" i="4" s="1"/>
  <c r="D351" i="4"/>
  <c r="F351" i="4" s="1"/>
  <c r="D352" i="4"/>
  <c r="F352" i="4" s="1"/>
  <c r="D312" i="4"/>
  <c r="F312" i="4" s="1"/>
  <c r="D349" i="4"/>
  <c r="F349" i="4" s="1"/>
  <c r="D120" i="4"/>
  <c r="F120" i="4" s="1"/>
  <c r="D275" i="4"/>
  <c r="F275" i="4" s="1"/>
  <c r="C87" i="4"/>
  <c r="D87" i="4" s="1"/>
  <c r="F87" i="4" s="1"/>
  <c r="C353" i="4"/>
  <c r="D353" i="4" s="1"/>
  <c r="F353" i="4" s="1"/>
  <c r="D428" i="4"/>
  <c r="F428" i="4" s="1"/>
  <c r="D199" i="4"/>
  <c r="F199" i="4" s="1"/>
  <c r="D124" i="4"/>
  <c r="F124" i="4" s="1"/>
  <c r="D122" i="4"/>
  <c r="F122" i="4" s="1"/>
  <c r="D6" i="4"/>
  <c r="F6" i="4" s="1"/>
  <c r="D160" i="4"/>
  <c r="F160" i="4" s="1"/>
  <c r="D159" i="4"/>
  <c r="F159" i="4" s="1"/>
  <c r="D387" i="4"/>
  <c r="F387" i="4" s="1"/>
  <c r="D197" i="4"/>
  <c r="F197" i="4" s="1"/>
  <c r="D158" i="4"/>
  <c r="F158" i="4" s="1"/>
  <c r="D386" i="4"/>
  <c r="F386" i="4" s="1"/>
  <c r="D161" i="4"/>
  <c r="F161" i="4" s="1"/>
  <c r="B164" i="4"/>
  <c r="D177" i="7" s="1"/>
  <c r="B88" i="4"/>
  <c r="B354" i="4"/>
  <c r="B239" i="4"/>
  <c r="D258" i="7" s="1"/>
  <c r="C238" i="4"/>
  <c r="D238" i="4" s="1"/>
  <c r="F238" i="4" s="1"/>
  <c r="B202" i="4"/>
  <c r="C201" i="4"/>
  <c r="D201" i="4" s="1"/>
  <c r="F201" i="4" s="1"/>
  <c r="B50" i="4"/>
  <c r="B316" i="4"/>
  <c r="B126" i="4"/>
  <c r="D136" i="7" s="1"/>
  <c r="C315" i="4"/>
  <c r="D315" i="4" s="1"/>
  <c r="F315" i="4" s="1"/>
  <c r="C125" i="4"/>
  <c r="D125" i="4" s="1"/>
  <c r="F125" i="4" s="1"/>
  <c r="C163" i="4"/>
  <c r="D163" i="4" s="1"/>
  <c r="F163" i="4" s="1"/>
  <c r="B277" i="4"/>
  <c r="C276" i="4"/>
  <c r="D276" i="4" s="1"/>
  <c r="F276" i="4" s="1"/>
  <c r="C392" i="4"/>
  <c r="B11" i="4"/>
  <c r="E17" i="3"/>
  <c r="I18" i="7"/>
  <c r="I59" i="7"/>
  <c r="I182" i="7"/>
  <c r="J18" i="7" l="1"/>
  <c r="D386" i="7"/>
  <c r="D345" i="7"/>
  <c r="J182" i="7"/>
  <c r="J59" i="7"/>
  <c r="C316" i="4"/>
  <c r="D316" i="4" s="1"/>
  <c r="F316" i="4" s="1"/>
  <c r="C164" i="4"/>
  <c r="D164" i="4"/>
  <c r="F164" i="4" s="1"/>
  <c r="C354" i="4"/>
  <c r="D354" i="4"/>
  <c r="F354" i="4" s="1"/>
  <c r="B431" i="4"/>
  <c r="D430" i="4"/>
  <c r="F430" i="4" s="1"/>
  <c r="B393" i="4"/>
  <c r="C393" i="4" s="1"/>
  <c r="D392" i="4"/>
  <c r="F392" i="4" s="1"/>
  <c r="B127" i="4"/>
  <c r="B51" i="4"/>
  <c r="B203" i="4"/>
  <c r="C202" i="4"/>
  <c r="D202" i="4" s="1"/>
  <c r="F202" i="4" s="1"/>
  <c r="B240" i="4"/>
  <c r="D259" i="7" s="1"/>
  <c r="C239" i="4"/>
  <c r="D239" i="4" s="1"/>
  <c r="F239" i="4" s="1"/>
  <c r="B89" i="4"/>
  <c r="B278" i="4"/>
  <c r="C277" i="4"/>
  <c r="D277" i="4" s="1"/>
  <c r="F277" i="4" s="1"/>
  <c r="C88" i="4"/>
  <c r="D88" i="4" s="1"/>
  <c r="F88" i="4" s="1"/>
  <c r="C126" i="4"/>
  <c r="D126" i="4" s="1"/>
  <c r="F126" i="4" s="1"/>
  <c r="B317" i="4"/>
  <c r="B355" i="4"/>
  <c r="B165" i="4"/>
  <c r="C127" i="4"/>
  <c r="C431" i="4"/>
  <c r="B12" i="4"/>
  <c r="D15" i="7" s="1"/>
  <c r="F17" i="3"/>
  <c r="I470" i="7"/>
  <c r="I141" i="7"/>
  <c r="I346" i="7"/>
  <c r="I387" i="7"/>
  <c r="I264" i="7"/>
  <c r="D127" i="4" l="1"/>
  <c r="F127" i="4" s="1"/>
  <c r="J470" i="7"/>
  <c r="D470" i="7" s="1"/>
  <c r="J387" i="7"/>
  <c r="J346" i="7"/>
  <c r="J264" i="7"/>
  <c r="J141" i="7"/>
  <c r="C317" i="4"/>
  <c r="D317" i="4" s="1"/>
  <c r="F317" i="4" s="1"/>
  <c r="C165" i="4"/>
  <c r="D165" i="4" s="1"/>
  <c r="F165" i="4" s="1"/>
  <c r="C89" i="4"/>
  <c r="D89" i="4" s="1"/>
  <c r="F89" i="4" s="1"/>
  <c r="D203" i="4"/>
  <c r="F203" i="4" s="1"/>
  <c r="B394" i="4"/>
  <c r="C394" i="4" s="1"/>
  <c r="D393" i="4"/>
  <c r="F393" i="4" s="1"/>
  <c r="B432" i="4"/>
  <c r="C432" i="4" s="1"/>
  <c r="D431" i="4"/>
  <c r="F431" i="4" s="1"/>
  <c r="B356" i="4"/>
  <c r="B241" i="4"/>
  <c r="C240" i="4"/>
  <c r="D240" i="4" s="1"/>
  <c r="F240" i="4" s="1"/>
  <c r="B90" i="4"/>
  <c r="C355" i="4"/>
  <c r="D355" i="4" s="1"/>
  <c r="F355" i="4" s="1"/>
  <c r="B166" i="4"/>
  <c r="B318" i="4"/>
  <c r="B279" i="4"/>
  <c r="C278" i="4"/>
  <c r="D278" i="4" s="1"/>
  <c r="F278" i="4" s="1"/>
  <c r="B204" i="4"/>
  <c r="C203" i="4"/>
  <c r="B52" i="4"/>
  <c r="B128" i="4"/>
  <c r="B13" i="4"/>
  <c r="G17" i="3"/>
  <c r="I19" i="7"/>
  <c r="I60" i="7"/>
  <c r="I183" i="7"/>
  <c r="J19" i="7" l="1"/>
  <c r="D387" i="7"/>
  <c r="D346" i="7"/>
  <c r="J183" i="7"/>
  <c r="J60" i="7"/>
  <c r="D60" i="7" s="1"/>
  <c r="C128" i="4"/>
  <c r="D128" i="4" s="1"/>
  <c r="F128" i="4" s="1"/>
  <c r="C318" i="4"/>
  <c r="D318" i="4" s="1"/>
  <c r="F318" i="4" s="1"/>
  <c r="B433" i="4"/>
  <c r="D432" i="4"/>
  <c r="F432" i="4" s="1"/>
  <c r="B395" i="4"/>
  <c r="C395" i="4" s="1"/>
  <c r="D394" i="4"/>
  <c r="F394" i="4" s="1"/>
  <c r="B91" i="4"/>
  <c r="C90" i="4"/>
  <c r="D90" i="4" s="1"/>
  <c r="F90" i="4" s="1"/>
  <c r="B129" i="4"/>
  <c r="D137" i="7" s="1"/>
  <c r="B280" i="4"/>
  <c r="C279" i="4"/>
  <c r="D279" i="4" s="1"/>
  <c r="F279" i="4" s="1"/>
  <c r="B167" i="4"/>
  <c r="B357" i="4"/>
  <c r="C356" i="4"/>
  <c r="D356" i="4" s="1"/>
  <c r="F356" i="4" s="1"/>
  <c r="C166" i="4"/>
  <c r="D166" i="4" s="1"/>
  <c r="F166" i="4" s="1"/>
  <c r="B205" i="4"/>
  <c r="C204" i="4"/>
  <c r="D204" i="4" s="1"/>
  <c r="F204" i="4" s="1"/>
  <c r="B53" i="4"/>
  <c r="D54" i="7" s="1"/>
  <c r="B319" i="4"/>
  <c r="B242" i="4"/>
  <c r="D260" i="7" s="1"/>
  <c r="C241" i="4"/>
  <c r="D241" i="4" s="1"/>
  <c r="F241" i="4" s="1"/>
  <c r="C167" i="4"/>
  <c r="C433" i="4"/>
  <c r="B14" i="4"/>
  <c r="H17" i="3"/>
  <c r="I142" i="7"/>
  <c r="I347" i="7"/>
  <c r="I388" i="7"/>
  <c r="I265" i="7"/>
  <c r="I471" i="7"/>
  <c r="J471" i="7" l="1"/>
  <c r="D471" i="7" s="1"/>
  <c r="J388" i="7"/>
  <c r="J347" i="7"/>
  <c r="J265" i="7"/>
  <c r="J142" i="7"/>
  <c r="D167" i="4"/>
  <c r="F167" i="4" s="1"/>
  <c r="C319" i="4"/>
  <c r="D319" i="4" s="1"/>
  <c r="F319" i="4" s="1"/>
  <c r="C91" i="4"/>
  <c r="D91" i="4" s="1"/>
  <c r="F91" i="4" s="1"/>
  <c r="B434" i="4"/>
  <c r="D433" i="4"/>
  <c r="F433" i="4" s="1"/>
  <c r="C129" i="4"/>
  <c r="D129" i="4" s="1"/>
  <c r="F129" i="4" s="1"/>
  <c r="B396" i="4"/>
  <c r="C396" i="4" s="1"/>
  <c r="D395" i="4"/>
  <c r="F395" i="4" s="1"/>
  <c r="B358" i="4"/>
  <c r="C358" i="4" s="1"/>
  <c r="B281" i="4"/>
  <c r="C280" i="4"/>
  <c r="D280" i="4" s="1"/>
  <c r="F280" i="4" s="1"/>
  <c r="B130" i="4"/>
  <c r="B92" i="4"/>
  <c r="C92" i="4" s="1"/>
  <c r="B243" i="4"/>
  <c r="C242" i="4"/>
  <c r="D242" i="4" s="1"/>
  <c r="F242" i="4" s="1"/>
  <c r="B54" i="4"/>
  <c r="C357" i="4"/>
  <c r="D357" i="4" s="1"/>
  <c r="F357" i="4" s="1"/>
  <c r="B320" i="4"/>
  <c r="B206" i="4"/>
  <c r="C205" i="4"/>
  <c r="D205" i="4" s="1"/>
  <c r="F205" i="4" s="1"/>
  <c r="B168" i="4"/>
  <c r="C434" i="4"/>
  <c r="B15" i="4"/>
  <c r="D16" i="7" s="1"/>
  <c r="B20" i="3"/>
  <c r="I20" i="7"/>
  <c r="I61" i="7"/>
  <c r="I184" i="7"/>
  <c r="J20" i="7" l="1"/>
  <c r="D388" i="7"/>
  <c r="D347" i="7"/>
  <c r="J184" i="7"/>
  <c r="J61" i="7"/>
  <c r="D61" i="7" s="1"/>
  <c r="B397" i="4"/>
  <c r="C397" i="4" s="1"/>
  <c r="D396" i="4"/>
  <c r="F396" i="4" s="1"/>
  <c r="B435" i="4"/>
  <c r="D434" i="4"/>
  <c r="F434" i="4" s="1"/>
  <c r="C320" i="4"/>
  <c r="D320" i="4" s="1"/>
  <c r="F320" i="4" s="1"/>
  <c r="C168" i="4"/>
  <c r="D168" i="4" s="1"/>
  <c r="F168" i="4" s="1"/>
  <c r="D92" i="4"/>
  <c r="F92" i="4" s="1"/>
  <c r="D358" i="4"/>
  <c r="F358" i="4" s="1"/>
  <c r="B131" i="4"/>
  <c r="C130" i="4"/>
  <c r="D130" i="4" s="1"/>
  <c r="F130" i="4" s="1"/>
  <c r="B207" i="4"/>
  <c r="C206" i="4"/>
  <c r="D206" i="4" s="1"/>
  <c r="F206" i="4" s="1"/>
  <c r="B244" i="4"/>
  <c r="D261" i="7" s="1"/>
  <c r="C243" i="4"/>
  <c r="D243" i="4" s="1"/>
  <c r="F243" i="4" s="1"/>
  <c r="B55" i="4"/>
  <c r="D55" i="7" s="1"/>
  <c r="B93" i="4"/>
  <c r="B359" i="4"/>
  <c r="B321" i="4"/>
  <c r="B169" i="4"/>
  <c r="B282" i="4"/>
  <c r="C281" i="4"/>
  <c r="D281" i="4" s="1"/>
  <c r="F281" i="4" s="1"/>
  <c r="C435" i="4"/>
  <c r="B16" i="4"/>
  <c r="C20" i="3"/>
  <c r="I266" i="7"/>
  <c r="I472" i="7"/>
  <c r="I348" i="7"/>
  <c r="I389" i="7"/>
  <c r="I143" i="7"/>
  <c r="D184" i="7" l="1"/>
  <c r="J472" i="7"/>
  <c r="D472" i="7" s="1"/>
  <c r="J389" i="7"/>
  <c r="J348" i="7"/>
  <c r="J266" i="7"/>
  <c r="J143" i="7"/>
  <c r="C359" i="4"/>
  <c r="D359" i="4" s="1"/>
  <c r="F359" i="4" s="1"/>
  <c r="C93" i="4"/>
  <c r="D93" i="4" s="1"/>
  <c r="F93" i="4" s="1"/>
  <c r="C131" i="4"/>
  <c r="D131" i="4" s="1"/>
  <c r="F131" i="4" s="1"/>
  <c r="C169" i="4"/>
  <c r="D169" i="4"/>
  <c r="F169" i="4" s="1"/>
  <c r="B398" i="4"/>
  <c r="C398" i="4" s="1"/>
  <c r="D397" i="4"/>
  <c r="F397" i="4" s="1"/>
  <c r="C321" i="4"/>
  <c r="D321" i="4" s="1"/>
  <c r="F321" i="4" s="1"/>
  <c r="B436" i="4"/>
  <c r="C436" i="4" s="1"/>
  <c r="D435" i="4"/>
  <c r="F435" i="4" s="1"/>
  <c r="B170" i="4"/>
  <c r="D178" i="7" s="1"/>
  <c r="B360" i="4"/>
  <c r="B245" i="4"/>
  <c r="C244" i="4"/>
  <c r="D244" i="4" s="1"/>
  <c r="F244" i="4" s="1"/>
  <c r="B283" i="4"/>
  <c r="C282" i="4"/>
  <c r="D282" i="4" s="1"/>
  <c r="F282" i="4" s="1"/>
  <c r="B56" i="4"/>
  <c r="B322" i="4"/>
  <c r="B94" i="4"/>
  <c r="B132" i="4"/>
  <c r="B208" i="4"/>
  <c r="C207" i="4"/>
  <c r="D207" i="4" s="1"/>
  <c r="F207" i="4" s="1"/>
  <c r="B17" i="4"/>
  <c r="D20" i="3"/>
  <c r="I62" i="7"/>
  <c r="I21" i="7"/>
  <c r="I185" i="7"/>
  <c r="J21" i="7" l="1"/>
  <c r="D21" i="7" s="1"/>
  <c r="D389" i="7"/>
  <c r="D348" i="7"/>
  <c r="D266" i="7"/>
  <c r="D143" i="7"/>
  <c r="J185" i="7"/>
  <c r="J62" i="7"/>
  <c r="D62" i="7" s="1"/>
  <c r="D398" i="4"/>
  <c r="F398" i="4" s="1"/>
  <c r="B399" i="4"/>
  <c r="C399" i="4" s="1"/>
  <c r="C132" i="4"/>
  <c r="D132" i="4" s="1"/>
  <c r="F132" i="4" s="1"/>
  <c r="C360" i="4"/>
  <c r="D360" i="4" s="1"/>
  <c r="F360" i="4" s="1"/>
  <c r="C94" i="4"/>
  <c r="D94" i="4" s="1"/>
  <c r="F94" i="4" s="1"/>
  <c r="C170" i="4"/>
  <c r="D170" i="4" s="1"/>
  <c r="F170" i="4" s="1"/>
  <c r="C322" i="4"/>
  <c r="D322" i="4" s="1"/>
  <c r="F322" i="4" s="1"/>
  <c r="D436" i="4"/>
  <c r="F436" i="4" s="1"/>
  <c r="B437" i="4"/>
  <c r="C437" i="4" s="1"/>
  <c r="B18" i="4"/>
  <c r="B133" i="4"/>
  <c r="D138" i="7" s="1"/>
  <c r="B323" i="4"/>
  <c r="B57" i="4"/>
  <c r="B361" i="4"/>
  <c r="B209" i="4"/>
  <c r="C208" i="4"/>
  <c r="D208" i="4" s="1"/>
  <c r="F208" i="4" s="1"/>
  <c r="B95" i="4"/>
  <c r="B246" i="4"/>
  <c r="C245" i="4"/>
  <c r="D245" i="4" s="1"/>
  <c r="F245" i="4" s="1"/>
  <c r="B171" i="4"/>
  <c r="D179" i="7" s="1"/>
  <c r="B284" i="4"/>
  <c r="C283" i="4"/>
  <c r="D283" i="4" s="1"/>
  <c r="F283" i="4" s="1"/>
  <c r="E20" i="3"/>
  <c r="I267" i="7"/>
  <c r="I390" i="7"/>
  <c r="I349" i="7"/>
  <c r="I144" i="7"/>
  <c r="I473" i="7"/>
  <c r="D185" i="7" l="1"/>
  <c r="J473" i="7"/>
  <c r="D473" i="7" s="1"/>
  <c r="J390" i="7"/>
  <c r="J349" i="7"/>
  <c r="J267" i="7"/>
  <c r="J144" i="7"/>
  <c r="C133" i="4"/>
  <c r="D133" i="4" s="1"/>
  <c r="F133" i="4" s="1"/>
  <c r="C361" i="4"/>
  <c r="D361" i="4" s="1"/>
  <c r="F361" i="4" s="1"/>
  <c r="B400" i="4"/>
  <c r="C400" i="4" s="1"/>
  <c r="D399" i="4"/>
  <c r="F399" i="4" s="1"/>
  <c r="C95" i="4"/>
  <c r="D95" i="4"/>
  <c r="F95" i="4" s="1"/>
  <c r="B438" i="4"/>
  <c r="C438" i="4" s="1"/>
  <c r="D437" i="4"/>
  <c r="F437" i="4" s="1"/>
  <c r="C171" i="4"/>
  <c r="D171" i="4" s="1"/>
  <c r="F171" i="4" s="1"/>
  <c r="C323" i="4"/>
  <c r="D323" i="4" s="1"/>
  <c r="F323" i="4" s="1"/>
  <c r="B96" i="4"/>
  <c r="B362" i="4"/>
  <c r="B324" i="4"/>
  <c r="B285" i="4"/>
  <c r="C284" i="4"/>
  <c r="D284" i="4" s="1"/>
  <c r="F284" i="4" s="1"/>
  <c r="B172" i="4"/>
  <c r="D180" i="7" s="1"/>
  <c r="B247" i="4"/>
  <c r="C246" i="4"/>
  <c r="D246" i="4" s="1"/>
  <c r="F246" i="4" s="1"/>
  <c r="B210" i="4"/>
  <c r="C209" i="4"/>
  <c r="D209" i="4" s="1"/>
  <c r="F209" i="4" s="1"/>
  <c r="B58" i="4"/>
  <c r="B134" i="4"/>
  <c r="D139" i="7" s="1"/>
  <c r="B19" i="4"/>
  <c r="D17" i="7" s="1"/>
  <c r="F20" i="3"/>
  <c r="I186" i="7"/>
  <c r="I22" i="7"/>
  <c r="I63" i="7"/>
  <c r="J22" i="7" l="1"/>
  <c r="D22" i="7" s="1"/>
  <c r="D390" i="7"/>
  <c r="D349" i="7"/>
  <c r="D267" i="7"/>
  <c r="D144" i="7"/>
  <c r="J186" i="7"/>
  <c r="J63" i="7"/>
  <c r="D63" i="7" s="1"/>
  <c r="B401" i="4"/>
  <c r="C401" i="4" s="1"/>
  <c r="D400" i="4"/>
  <c r="F400" i="4" s="1"/>
  <c r="C362" i="4"/>
  <c r="D362" i="4" s="1"/>
  <c r="F362" i="4" s="1"/>
  <c r="C134" i="4"/>
  <c r="D134" i="4" s="1"/>
  <c r="F134" i="4" s="1"/>
  <c r="C96" i="4"/>
  <c r="D96" i="4" s="1"/>
  <c r="F96" i="4" s="1"/>
  <c r="C324" i="4"/>
  <c r="D324" i="4"/>
  <c r="F324" i="4" s="1"/>
  <c r="B439" i="4"/>
  <c r="D438" i="4"/>
  <c r="F438" i="4" s="1"/>
  <c r="B59" i="4"/>
  <c r="B286" i="4"/>
  <c r="C285" i="4"/>
  <c r="D285" i="4" s="1"/>
  <c r="F285" i="4" s="1"/>
  <c r="B363" i="4"/>
  <c r="B211" i="4"/>
  <c r="C210" i="4"/>
  <c r="D210" i="4" s="1"/>
  <c r="F210" i="4" s="1"/>
  <c r="B248" i="4"/>
  <c r="C247" i="4"/>
  <c r="D247" i="4" s="1"/>
  <c r="F247" i="4" s="1"/>
  <c r="B173" i="4"/>
  <c r="C172" i="4"/>
  <c r="D172" i="4" s="1"/>
  <c r="F172" i="4" s="1"/>
  <c r="B135" i="4"/>
  <c r="B325" i="4"/>
  <c r="B97" i="4"/>
  <c r="C97" i="4"/>
  <c r="B20" i="4"/>
  <c r="D18" i="7" s="1"/>
  <c r="G20" i="3"/>
  <c r="I145" i="7"/>
  <c r="I350" i="7"/>
  <c r="I474" i="7"/>
  <c r="I268" i="7"/>
  <c r="I391" i="7"/>
  <c r="D186" i="7" l="1"/>
  <c r="J474" i="7"/>
  <c r="D474" i="7" s="1"/>
  <c r="J391" i="7"/>
  <c r="J350" i="7"/>
  <c r="J268" i="7"/>
  <c r="J145" i="7"/>
  <c r="C135" i="4"/>
  <c r="D135" i="4" s="1"/>
  <c r="F135" i="4" s="1"/>
  <c r="C325" i="4"/>
  <c r="D325" i="4" s="1"/>
  <c r="F325" i="4" s="1"/>
  <c r="C363" i="4"/>
  <c r="D363" i="4" s="1"/>
  <c r="F363" i="4" s="1"/>
  <c r="B440" i="4"/>
  <c r="C439" i="4"/>
  <c r="D439" i="4" s="1"/>
  <c r="F439" i="4" s="1"/>
  <c r="D97" i="4"/>
  <c r="F97" i="4" s="1"/>
  <c r="C173" i="4"/>
  <c r="D173" i="4" s="1"/>
  <c r="F173" i="4" s="1"/>
  <c r="B402" i="4"/>
  <c r="C402" i="4" s="1"/>
  <c r="D401" i="4"/>
  <c r="F401" i="4" s="1"/>
  <c r="B249" i="4"/>
  <c r="C248" i="4"/>
  <c r="D248" i="4" s="1"/>
  <c r="F248" i="4" s="1"/>
  <c r="B287" i="4"/>
  <c r="C286" i="4"/>
  <c r="D286" i="4" s="1"/>
  <c r="F286" i="4" s="1"/>
  <c r="B98" i="4"/>
  <c r="B326" i="4"/>
  <c r="B212" i="4"/>
  <c r="C211" i="4"/>
  <c r="D211" i="4" s="1"/>
  <c r="F211" i="4" s="1"/>
  <c r="B60" i="4"/>
  <c r="B174" i="4"/>
  <c r="B364" i="4"/>
  <c r="B136" i="4"/>
  <c r="D140" i="7" s="1"/>
  <c r="C440" i="4"/>
  <c r="B21" i="4"/>
  <c r="H20" i="3"/>
  <c r="I187" i="7"/>
  <c r="I23" i="7"/>
  <c r="I64" i="7"/>
  <c r="J23" i="7" l="1"/>
  <c r="D23" i="7" s="1"/>
  <c r="D391" i="7"/>
  <c r="D350" i="7"/>
  <c r="D268" i="7"/>
  <c r="D145" i="7"/>
  <c r="J187" i="7"/>
  <c r="J64" i="7"/>
  <c r="D64" i="7" s="1"/>
  <c r="C326" i="4"/>
  <c r="D326" i="4" s="1"/>
  <c r="F326" i="4" s="1"/>
  <c r="C174" i="4"/>
  <c r="D174" i="4" s="1"/>
  <c r="F174" i="4" s="1"/>
  <c r="C98" i="4"/>
  <c r="D98" i="4" s="1"/>
  <c r="F98" i="4" s="1"/>
  <c r="C136" i="4"/>
  <c r="D136" i="4" s="1"/>
  <c r="F136" i="4" s="1"/>
  <c r="B403" i="4"/>
  <c r="D402" i="4"/>
  <c r="F402" i="4" s="1"/>
  <c r="B441" i="4"/>
  <c r="C441" i="4" s="1"/>
  <c r="D440" i="4"/>
  <c r="F440" i="4" s="1"/>
  <c r="B365" i="4"/>
  <c r="C365" i="4" s="1"/>
  <c r="B61" i="4"/>
  <c r="B327" i="4"/>
  <c r="B99" i="4"/>
  <c r="B250" i="4"/>
  <c r="C249" i="4"/>
  <c r="D249" i="4" s="1"/>
  <c r="F249" i="4" s="1"/>
  <c r="B288" i="4"/>
  <c r="C287" i="4"/>
  <c r="D287" i="4" s="1"/>
  <c r="F287" i="4" s="1"/>
  <c r="C364" i="4"/>
  <c r="D364" i="4" s="1"/>
  <c r="F364" i="4" s="1"/>
  <c r="B137" i="4"/>
  <c r="B175" i="4"/>
  <c r="B213" i="4"/>
  <c r="C212" i="4"/>
  <c r="D212" i="4" s="1"/>
  <c r="F212" i="4" s="1"/>
  <c r="C403" i="4"/>
  <c r="B22" i="4"/>
  <c r="B23" i="3"/>
  <c r="I146" i="7"/>
  <c r="I475" i="7"/>
  <c r="I269" i="7"/>
  <c r="I392" i="7"/>
  <c r="I351" i="7"/>
  <c r="D187" i="7" l="1"/>
  <c r="J475" i="7"/>
  <c r="D475" i="7" s="1"/>
  <c r="J392" i="7"/>
  <c r="J351" i="7"/>
  <c r="J269" i="7"/>
  <c r="J146" i="7"/>
  <c r="C175" i="4"/>
  <c r="D175" i="4" s="1"/>
  <c r="F175" i="4" s="1"/>
  <c r="D365" i="4"/>
  <c r="F365" i="4" s="1"/>
  <c r="B404" i="4"/>
  <c r="C404" i="4" s="1"/>
  <c r="D403" i="4"/>
  <c r="F403" i="4" s="1"/>
  <c r="C327" i="4"/>
  <c r="D327" i="4" s="1"/>
  <c r="F327" i="4" s="1"/>
  <c r="B442" i="4"/>
  <c r="C442" i="4" s="1"/>
  <c r="D441" i="4"/>
  <c r="F441" i="4" s="1"/>
  <c r="C99" i="4"/>
  <c r="D99" i="4" s="1"/>
  <c r="F99" i="4" s="1"/>
  <c r="B138" i="4"/>
  <c r="B289" i="4"/>
  <c r="C288" i="4"/>
  <c r="D288" i="4" s="1"/>
  <c r="F288" i="4" s="1"/>
  <c r="B251" i="4"/>
  <c r="C250" i="4"/>
  <c r="D250" i="4" s="1"/>
  <c r="F250" i="4" s="1"/>
  <c r="B328" i="4"/>
  <c r="C328" i="4" s="1"/>
  <c r="B366" i="4"/>
  <c r="B176" i="4"/>
  <c r="D181" i="7" s="1"/>
  <c r="C137" i="4"/>
  <c r="D137" i="4" s="1"/>
  <c r="F137" i="4" s="1"/>
  <c r="B214" i="4"/>
  <c r="C213" i="4"/>
  <c r="D213" i="4" s="1"/>
  <c r="F213" i="4" s="1"/>
  <c r="B100" i="4"/>
  <c r="B62" i="4"/>
  <c r="B23" i="4"/>
  <c r="C23" i="3"/>
  <c r="I188" i="7"/>
  <c r="I24" i="7"/>
  <c r="I65" i="7"/>
  <c r="J24" i="7" l="1"/>
  <c r="D24" i="7" s="1"/>
  <c r="D392" i="7"/>
  <c r="D351" i="7"/>
  <c r="D269" i="7"/>
  <c r="D146" i="7"/>
  <c r="J188" i="7"/>
  <c r="J65" i="7"/>
  <c r="D65" i="7" s="1"/>
  <c r="C176" i="4"/>
  <c r="D176" i="4"/>
  <c r="F176" i="4" s="1"/>
  <c r="C366" i="4"/>
  <c r="D366" i="4" s="1"/>
  <c r="F366" i="4" s="1"/>
  <c r="B443" i="4"/>
  <c r="D442" i="4"/>
  <c r="F442" i="4" s="1"/>
  <c r="D328" i="4"/>
  <c r="F328" i="4" s="1"/>
  <c r="B405" i="4"/>
  <c r="D404" i="4"/>
  <c r="F404" i="4" s="1"/>
  <c r="C138" i="4"/>
  <c r="D138" i="4" s="1"/>
  <c r="F138" i="4" s="1"/>
  <c r="B101" i="4"/>
  <c r="B177" i="4"/>
  <c r="B252" i="4"/>
  <c r="C251" i="4"/>
  <c r="D251" i="4" s="1"/>
  <c r="F251" i="4" s="1"/>
  <c r="C100" i="4"/>
  <c r="D100" i="4" s="1"/>
  <c r="F100" i="4" s="1"/>
  <c r="B329" i="4"/>
  <c r="B139" i="4"/>
  <c r="B63" i="4"/>
  <c r="D56" i="7" s="1"/>
  <c r="B215" i="4"/>
  <c r="C214" i="4"/>
  <c r="D214" i="4" s="1"/>
  <c r="F214" i="4" s="1"/>
  <c r="B367" i="4"/>
  <c r="B290" i="4"/>
  <c r="C289" i="4"/>
  <c r="D289" i="4" s="1"/>
  <c r="F289" i="4" s="1"/>
  <c r="C443" i="4"/>
  <c r="B24" i="4"/>
  <c r="D23" i="3"/>
  <c r="I147" i="7"/>
  <c r="I393" i="7"/>
  <c r="I352" i="7"/>
  <c r="I476" i="7"/>
  <c r="I270" i="7"/>
  <c r="D188" i="7" l="1"/>
  <c r="J476" i="7"/>
  <c r="D476" i="7" s="1"/>
  <c r="J393" i="7"/>
  <c r="J352" i="7"/>
  <c r="J270" i="7"/>
  <c r="J147" i="7"/>
  <c r="B406" i="4"/>
  <c r="C406" i="4" s="1"/>
  <c r="C405" i="4"/>
  <c r="D405" i="4" s="1"/>
  <c r="F405" i="4" s="1"/>
  <c r="C367" i="4"/>
  <c r="D367" i="4" s="1"/>
  <c r="F367" i="4" s="1"/>
  <c r="C139" i="4"/>
  <c r="D139" i="4" s="1"/>
  <c r="F139" i="4" s="1"/>
  <c r="C329" i="4"/>
  <c r="D329" i="4"/>
  <c r="F329" i="4" s="1"/>
  <c r="C177" i="4"/>
  <c r="D177" i="4" s="1"/>
  <c r="F177" i="4" s="1"/>
  <c r="D443" i="4"/>
  <c r="F443" i="4" s="1"/>
  <c r="B444" i="4"/>
  <c r="C444" i="4" s="1"/>
  <c r="B253" i="4"/>
  <c r="C252" i="4"/>
  <c r="D252" i="4" s="1"/>
  <c r="F252" i="4" s="1"/>
  <c r="B102" i="4"/>
  <c r="C102" i="4" s="1"/>
  <c r="C101" i="4"/>
  <c r="D101" i="4" s="1"/>
  <c r="F101" i="4" s="1"/>
  <c r="B216" i="4"/>
  <c r="C215" i="4"/>
  <c r="D215" i="4" s="1"/>
  <c r="F215" i="4" s="1"/>
  <c r="B140" i="4"/>
  <c r="B368" i="4"/>
  <c r="C368" i="4" s="1"/>
  <c r="B291" i="4"/>
  <c r="C290" i="4"/>
  <c r="D290" i="4" s="1"/>
  <c r="F290" i="4" s="1"/>
  <c r="B178" i="4"/>
  <c r="B64" i="4"/>
  <c r="B330" i="4"/>
  <c r="B25" i="4"/>
  <c r="E23" i="3"/>
  <c r="I25" i="7"/>
  <c r="I189" i="7"/>
  <c r="I66" i="7"/>
  <c r="J25" i="7" l="1"/>
  <c r="D25" i="7" s="1"/>
  <c r="D393" i="7"/>
  <c r="D352" i="7"/>
  <c r="D270" i="7"/>
  <c r="D147" i="7"/>
  <c r="J189" i="7"/>
  <c r="J66" i="7"/>
  <c r="D66" i="7" s="1"/>
  <c r="B407" i="4"/>
  <c r="D406" i="4"/>
  <c r="F406" i="4" s="1"/>
  <c r="C330" i="4"/>
  <c r="D330" i="4"/>
  <c r="F330" i="4" s="1"/>
  <c r="D368" i="4"/>
  <c r="F368" i="4" s="1"/>
  <c r="B445" i="4"/>
  <c r="C445" i="4" s="1"/>
  <c r="D444" i="4"/>
  <c r="F444" i="4" s="1"/>
  <c r="C178" i="4"/>
  <c r="D178" i="4" s="1"/>
  <c r="F178" i="4" s="1"/>
  <c r="D102" i="4"/>
  <c r="F102" i="4" s="1"/>
  <c r="B141" i="4"/>
  <c r="C140" i="4"/>
  <c r="D140" i="4" s="1"/>
  <c r="F140" i="4" s="1"/>
  <c r="B369" i="4"/>
  <c r="B254" i="4"/>
  <c r="D262" i="7" s="1"/>
  <c r="C253" i="4"/>
  <c r="D253" i="4" s="1"/>
  <c r="F253" i="4" s="1"/>
  <c r="B65" i="4"/>
  <c r="B103" i="4"/>
  <c r="B331" i="4"/>
  <c r="B179" i="4"/>
  <c r="B292" i="4"/>
  <c r="C291" i="4"/>
  <c r="D291" i="4" s="1"/>
  <c r="F291" i="4" s="1"/>
  <c r="B217" i="4"/>
  <c r="C216" i="4"/>
  <c r="D216" i="4" s="1"/>
  <c r="F216" i="4" s="1"/>
  <c r="C141" i="4"/>
  <c r="C407" i="4"/>
  <c r="B26" i="4"/>
  <c r="F23" i="3"/>
  <c r="I148" i="7"/>
  <c r="I477" i="7"/>
  <c r="I394" i="7"/>
  <c r="I271" i="7"/>
  <c r="I353" i="7"/>
  <c r="D189" i="7" l="1"/>
  <c r="J477" i="7"/>
  <c r="D477" i="7" s="1"/>
  <c r="J394" i="7"/>
  <c r="J353" i="7"/>
  <c r="J271" i="7"/>
  <c r="J148" i="7"/>
  <c r="C179" i="4"/>
  <c r="D179" i="4" s="1"/>
  <c r="F179" i="4" s="1"/>
  <c r="D141" i="4"/>
  <c r="F141" i="4" s="1"/>
  <c r="B408" i="4"/>
  <c r="D407" i="4"/>
  <c r="F407" i="4" s="1"/>
  <c r="C103" i="4"/>
  <c r="D103" i="4" s="1"/>
  <c r="F103" i="4" s="1"/>
  <c r="B446" i="4"/>
  <c r="C446" i="4" s="1"/>
  <c r="D445" i="4"/>
  <c r="F445" i="4" s="1"/>
  <c r="B218" i="4"/>
  <c r="C217" i="4"/>
  <c r="D217" i="4" s="1"/>
  <c r="F217" i="4" s="1"/>
  <c r="B293" i="4"/>
  <c r="C292" i="4"/>
  <c r="D292" i="4" s="1"/>
  <c r="F292" i="4" s="1"/>
  <c r="B332" i="4"/>
  <c r="B370" i="4"/>
  <c r="C331" i="4"/>
  <c r="D331" i="4" s="1"/>
  <c r="F331" i="4" s="1"/>
  <c r="B66" i="4"/>
  <c r="C369" i="4"/>
  <c r="D369" i="4" s="1"/>
  <c r="F369" i="4" s="1"/>
  <c r="B180" i="4"/>
  <c r="B104" i="4"/>
  <c r="C104" i="4" s="1"/>
  <c r="B255" i="4"/>
  <c r="C254" i="4"/>
  <c r="D254" i="4" s="1"/>
  <c r="F254" i="4" s="1"/>
  <c r="B142" i="4"/>
  <c r="B27" i="4"/>
  <c r="C408" i="4"/>
  <c r="C332" i="4"/>
  <c r="G23" i="3"/>
  <c r="I190" i="7"/>
  <c r="I26" i="7"/>
  <c r="I67" i="7"/>
  <c r="J26" i="7" l="1"/>
  <c r="D26" i="7" s="1"/>
  <c r="D104" i="4"/>
  <c r="F104" i="4" s="1"/>
  <c r="D394" i="7"/>
  <c r="D353" i="7"/>
  <c r="D271" i="7"/>
  <c r="D148" i="7"/>
  <c r="J190" i="7"/>
  <c r="J67" i="7"/>
  <c r="D67" i="7" s="1"/>
  <c r="C142" i="4"/>
  <c r="D142" i="4" s="1"/>
  <c r="F142" i="4" s="1"/>
  <c r="C180" i="4"/>
  <c r="D180" i="4" s="1"/>
  <c r="F180" i="4" s="1"/>
  <c r="C370" i="4"/>
  <c r="D370" i="4" s="1"/>
  <c r="F370" i="4" s="1"/>
  <c r="B447" i="4"/>
  <c r="D446" i="4"/>
  <c r="F446" i="4" s="1"/>
  <c r="D332" i="4"/>
  <c r="F332" i="4" s="1"/>
  <c r="B409" i="4"/>
  <c r="C409" i="4" s="1"/>
  <c r="D408" i="4"/>
  <c r="F408" i="4" s="1"/>
  <c r="B294" i="4"/>
  <c r="C293" i="4"/>
  <c r="D293" i="4" s="1"/>
  <c r="F293" i="4" s="1"/>
  <c r="B333" i="4"/>
  <c r="B67" i="4"/>
  <c r="D57" i="7" s="1"/>
  <c r="B105" i="4"/>
  <c r="B143" i="4"/>
  <c r="B256" i="4"/>
  <c r="D263" i="7" s="1"/>
  <c r="C255" i="4"/>
  <c r="D255" i="4" s="1"/>
  <c r="F255" i="4" s="1"/>
  <c r="B181" i="4"/>
  <c r="C181" i="4" s="1"/>
  <c r="B371" i="4"/>
  <c r="B219" i="4"/>
  <c r="C218" i="4"/>
  <c r="D218" i="4" s="1"/>
  <c r="F218" i="4" s="1"/>
  <c r="B28" i="4"/>
  <c r="C447" i="4"/>
  <c r="H23" i="3"/>
  <c r="I354" i="7"/>
  <c r="I272" i="7"/>
  <c r="I478" i="7"/>
  <c r="I395" i="7"/>
  <c r="I149" i="7"/>
  <c r="D181" i="4" l="1"/>
  <c r="F181" i="4" s="1"/>
  <c r="D190" i="7"/>
  <c r="J478" i="7"/>
  <c r="D478" i="7" s="1"/>
  <c r="J395" i="7"/>
  <c r="J354" i="7"/>
  <c r="J272" i="7"/>
  <c r="J149" i="7"/>
  <c r="C105" i="4"/>
  <c r="D105" i="4" s="1"/>
  <c r="F105" i="4" s="1"/>
  <c r="B448" i="4"/>
  <c r="D447" i="4"/>
  <c r="F447" i="4" s="1"/>
  <c r="C371" i="4"/>
  <c r="D371" i="4"/>
  <c r="F371" i="4" s="1"/>
  <c r="C333" i="4"/>
  <c r="D333" i="4"/>
  <c r="F333" i="4" s="1"/>
  <c r="B410" i="4"/>
  <c r="D409" i="4"/>
  <c r="F409" i="4" s="1"/>
  <c r="C143" i="4"/>
  <c r="D143" i="4" s="1"/>
  <c r="F143" i="4" s="1"/>
  <c r="B372" i="4"/>
  <c r="C372" i="4" s="1"/>
  <c r="B144" i="4"/>
  <c r="B106" i="4"/>
  <c r="B334" i="4"/>
  <c r="B220" i="4"/>
  <c r="C219" i="4"/>
  <c r="D219" i="4" s="1"/>
  <c r="F219" i="4" s="1"/>
  <c r="B182" i="4"/>
  <c r="B257" i="4"/>
  <c r="C256" i="4"/>
  <c r="D256" i="4" s="1"/>
  <c r="F256" i="4" s="1"/>
  <c r="B68" i="4"/>
  <c r="B295" i="4"/>
  <c r="C294" i="4"/>
  <c r="D294" i="4" s="1"/>
  <c r="F294" i="4" s="1"/>
  <c r="B29" i="4"/>
  <c r="D19" i="7" s="1"/>
  <c r="C410" i="4"/>
  <c r="B26" i="3"/>
  <c r="I191" i="7"/>
  <c r="I68" i="7"/>
  <c r="I27" i="7"/>
  <c r="J27" i="7" l="1"/>
  <c r="D27" i="7" s="1"/>
  <c r="D395" i="7"/>
  <c r="D354" i="7"/>
  <c r="D272" i="7"/>
  <c r="D149" i="7"/>
  <c r="J191" i="7"/>
  <c r="J68" i="7"/>
  <c r="D68" i="7" s="1"/>
  <c r="C182" i="4"/>
  <c r="D182" i="4" s="1"/>
  <c r="F182" i="4" s="1"/>
  <c r="C106" i="4"/>
  <c r="D106" i="4" s="1"/>
  <c r="F106" i="4" s="1"/>
  <c r="C334" i="4"/>
  <c r="D334" i="4" s="1"/>
  <c r="F334" i="4" s="1"/>
  <c r="B449" i="4"/>
  <c r="C448" i="4"/>
  <c r="D448" i="4" s="1"/>
  <c r="F448" i="4" s="1"/>
  <c r="C144" i="4"/>
  <c r="D144" i="4" s="1"/>
  <c r="F144" i="4" s="1"/>
  <c r="D372" i="4"/>
  <c r="F372" i="4" s="1"/>
  <c r="B411" i="4"/>
  <c r="D410" i="4"/>
  <c r="F410" i="4" s="1"/>
  <c r="B258" i="4"/>
  <c r="D264" i="7" s="1"/>
  <c r="C257" i="4"/>
  <c r="D257" i="4" s="1"/>
  <c r="F257" i="4" s="1"/>
  <c r="B335" i="4"/>
  <c r="B145" i="4"/>
  <c r="B296" i="4"/>
  <c r="C295" i="4"/>
  <c r="D295" i="4" s="1"/>
  <c r="F295" i="4" s="1"/>
  <c r="B221" i="4"/>
  <c r="C220" i="4"/>
  <c r="D220" i="4" s="1"/>
  <c r="F220" i="4" s="1"/>
  <c r="B69" i="4"/>
  <c r="B183" i="4"/>
  <c r="B107" i="4"/>
  <c r="B373" i="4"/>
  <c r="B30" i="4"/>
  <c r="C449" i="4"/>
  <c r="C411" i="4"/>
  <c r="C26" i="3"/>
  <c r="I273" i="7"/>
  <c r="I396" i="7"/>
  <c r="I150" i="7"/>
  <c r="I355" i="7"/>
  <c r="I479" i="7"/>
  <c r="D191" i="7" l="1"/>
  <c r="J479" i="7"/>
  <c r="D479" i="7" s="1"/>
  <c r="J396" i="7"/>
  <c r="J355" i="7"/>
  <c r="J273" i="7"/>
  <c r="J150" i="7"/>
  <c r="C183" i="4"/>
  <c r="D183" i="4" s="1"/>
  <c r="F183" i="4" s="1"/>
  <c r="C107" i="4"/>
  <c r="D107" i="4" s="1"/>
  <c r="F107" i="4" s="1"/>
  <c r="C335" i="4"/>
  <c r="D335" i="4" s="1"/>
  <c r="F335" i="4" s="1"/>
  <c r="B412" i="4"/>
  <c r="D411" i="4"/>
  <c r="F411" i="4" s="1"/>
  <c r="B450" i="4"/>
  <c r="C450" i="4" s="1"/>
  <c r="D449" i="4"/>
  <c r="F449" i="4" s="1"/>
  <c r="C373" i="4"/>
  <c r="D373" i="4" s="1"/>
  <c r="F373" i="4" s="1"/>
  <c r="C145" i="4"/>
  <c r="D145" i="4" s="1"/>
  <c r="F145" i="4" s="1"/>
  <c r="B297" i="4"/>
  <c r="C296" i="4"/>
  <c r="D296" i="4" s="1"/>
  <c r="F296" i="4" s="1"/>
  <c r="B336" i="4"/>
  <c r="B259" i="4"/>
  <c r="C258" i="4"/>
  <c r="D258" i="4" s="1"/>
  <c r="F258" i="4" s="1"/>
  <c r="B374" i="4"/>
  <c r="B108" i="4"/>
  <c r="B222" i="4"/>
  <c r="C221" i="4"/>
  <c r="D221" i="4" s="1"/>
  <c r="F221" i="4" s="1"/>
  <c r="B184" i="4"/>
  <c r="B70" i="4"/>
  <c r="B146" i="4"/>
  <c r="B31" i="4"/>
  <c r="D20" i="7" s="1"/>
  <c r="C412" i="4"/>
  <c r="D26" i="3"/>
  <c r="I28" i="7"/>
  <c r="I192" i="7"/>
  <c r="I69" i="7"/>
  <c r="J28" i="7" l="1"/>
  <c r="D28" i="7" s="1"/>
  <c r="C184" i="4"/>
  <c r="D184" i="4" s="1"/>
  <c r="F184" i="4" s="1"/>
  <c r="D396" i="7"/>
  <c r="D355" i="7"/>
  <c r="D273" i="7"/>
  <c r="D150" i="7"/>
  <c r="J192" i="7"/>
  <c r="J69" i="7"/>
  <c r="D69" i="7" s="1"/>
  <c r="C146" i="4"/>
  <c r="D146" i="4" s="1"/>
  <c r="F146" i="4" s="1"/>
  <c r="D412" i="4"/>
  <c r="F412" i="4" s="1"/>
  <c r="B413" i="4"/>
  <c r="C108" i="4"/>
  <c r="D108" i="4" s="1"/>
  <c r="F108" i="4" s="1"/>
  <c r="C374" i="4"/>
  <c r="D374" i="4" s="1"/>
  <c r="F374" i="4" s="1"/>
  <c r="C336" i="4"/>
  <c r="D336" i="4" s="1"/>
  <c r="F336" i="4" s="1"/>
  <c r="D450" i="4"/>
  <c r="F450" i="4" s="1"/>
  <c r="B451" i="4"/>
  <c r="C451" i="4" s="1"/>
  <c r="B71" i="4"/>
  <c r="B260" i="4"/>
  <c r="C259" i="4"/>
  <c r="D259" i="4" s="1"/>
  <c r="F259" i="4" s="1"/>
  <c r="B298" i="4"/>
  <c r="C297" i="4"/>
  <c r="D297" i="4" s="1"/>
  <c r="F297" i="4" s="1"/>
  <c r="B109" i="4"/>
  <c r="B375" i="4"/>
  <c r="B223" i="4"/>
  <c r="C222" i="4"/>
  <c r="D222" i="4" s="1"/>
  <c r="F222" i="4" s="1"/>
  <c r="B147" i="4"/>
  <c r="C147" i="4" s="1"/>
  <c r="B185" i="4"/>
  <c r="D182" i="7" s="1"/>
  <c r="B337" i="4"/>
  <c r="B32" i="4"/>
  <c r="C413" i="4"/>
  <c r="E26" i="3"/>
  <c r="I151" i="7"/>
  <c r="I397" i="7"/>
  <c r="I274" i="7"/>
  <c r="I356" i="7"/>
  <c r="I480" i="7"/>
  <c r="D147" i="4" l="1"/>
  <c r="F147" i="4" s="1"/>
  <c r="D192" i="7"/>
  <c r="J480" i="7"/>
  <c r="D480" i="7" s="1"/>
  <c r="J397" i="7"/>
  <c r="J356" i="7"/>
  <c r="J274" i="7"/>
  <c r="J151" i="7"/>
  <c r="C109" i="4"/>
  <c r="D109" i="4" s="1"/>
  <c r="F109" i="4" s="1"/>
  <c r="C337" i="4"/>
  <c r="D337" i="4" s="1"/>
  <c r="F337" i="4" s="1"/>
  <c r="C185" i="4"/>
  <c r="D185" i="4"/>
  <c r="F185" i="4" s="1"/>
  <c r="C375" i="4"/>
  <c r="D375" i="4" s="1"/>
  <c r="F375" i="4" s="1"/>
  <c r="B452" i="4"/>
  <c r="D451" i="4"/>
  <c r="F451" i="4" s="1"/>
  <c r="B414" i="4"/>
  <c r="D413" i="4"/>
  <c r="F413" i="4" s="1"/>
  <c r="B299" i="4"/>
  <c r="C298" i="4"/>
  <c r="D298" i="4" s="1"/>
  <c r="F298" i="4" s="1"/>
  <c r="B72" i="4"/>
  <c r="D58" i="7" s="1"/>
  <c r="B186" i="4"/>
  <c r="B110" i="4"/>
  <c r="B111" i="4" s="1"/>
  <c r="B338" i="4"/>
  <c r="D338" i="4" s="1"/>
  <c r="F338" i="4" s="1"/>
  <c r="B148" i="4"/>
  <c r="D141" i="7" s="1"/>
  <c r="B224" i="4"/>
  <c r="C223" i="4"/>
  <c r="D223" i="4" s="1"/>
  <c r="F223" i="4" s="1"/>
  <c r="B376" i="4"/>
  <c r="B261" i="4"/>
  <c r="C260" i="4"/>
  <c r="D260" i="4" s="1"/>
  <c r="F260" i="4" s="1"/>
  <c r="B33" i="4"/>
  <c r="C452" i="4"/>
  <c r="C414" i="4"/>
  <c r="F26" i="3"/>
  <c r="I29" i="7"/>
  <c r="I193" i="7"/>
  <c r="I70" i="7"/>
  <c r="J29" i="7" l="1"/>
  <c r="D29" i="7" s="1"/>
  <c r="D397" i="7"/>
  <c r="D356" i="7"/>
  <c r="D274" i="7"/>
  <c r="D151" i="7"/>
  <c r="J193" i="7"/>
  <c r="J70" i="7"/>
  <c r="D70" i="7" s="1"/>
  <c r="C186" i="4"/>
  <c r="D186" i="4"/>
  <c r="F186" i="4" s="1"/>
  <c r="B453" i="4"/>
  <c r="D452" i="4"/>
  <c r="F452" i="4" s="1"/>
  <c r="C376" i="4"/>
  <c r="D376" i="4" s="1"/>
  <c r="F376" i="4" s="1"/>
  <c r="D414" i="4"/>
  <c r="F414" i="4" s="1"/>
  <c r="B415" i="4"/>
  <c r="C338" i="4"/>
  <c r="B73" i="4"/>
  <c r="B149" i="4"/>
  <c r="B377" i="4"/>
  <c r="B187" i="4"/>
  <c r="D183" i="7" s="1"/>
  <c r="B262" i="4"/>
  <c r="C261" i="4"/>
  <c r="D261" i="4" s="1"/>
  <c r="F261" i="4" s="1"/>
  <c r="C110" i="4"/>
  <c r="D110" i="4" s="1"/>
  <c r="F110" i="4" s="1"/>
  <c r="C148" i="4"/>
  <c r="D148" i="4" s="1"/>
  <c r="F148" i="4" s="1"/>
  <c r="B225" i="4"/>
  <c r="C224" i="4"/>
  <c r="D224" i="4" s="1"/>
  <c r="F224" i="4" s="1"/>
  <c r="B339" i="4"/>
  <c r="D339" i="4" s="1"/>
  <c r="F339" i="4" s="1"/>
  <c r="B300" i="4"/>
  <c r="C299" i="4"/>
  <c r="D299" i="4" s="1"/>
  <c r="F299" i="4" s="1"/>
  <c r="B34" i="4"/>
  <c r="C453" i="4"/>
  <c r="C415" i="4"/>
  <c r="C111" i="4"/>
  <c r="G26" i="3"/>
  <c r="I398" i="7"/>
  <c r="I275" i="7"/>
  <c r="I152" i="7"/>
  <c r="I481" i="7"/>
  <c r="I357" i="7"/>
  <c r="D193" i="7" l="1"/>
  <c r="J481" i="7"/>
  <c r="D481" i="7" s="1"/>
  <c r="J398" i="7"/>
  <c r="J357" i="7"/>
  <c r="J275" i="7"/>
  <c r="J152" i="7"/>
  <c r="D111" i="4"/>
  <c r="F111" i="4" s="1"/>
  <c r="C377" i="4"/>
  <c r="D377" i="4" s="1"/>
  <c r="F377" i="4" s="1"/>
  <c r="D415" i="4"/>
  <c r="F415" i="4" s="1"/>
  <c r="B416" i="4"/>
  <c r="B454" i="4"/>
  <c r="C454" i="4" s="1"/>
  <c r="D453" i="4"/>
  <c r="F453" i="4" s="1"/>
  <c r="C339" i="4"/>
  <c r="B301" i="4"/>
  <c r="C300" i="4"/>
  <c r="D300" i="4" s="1"/>
  <c r="F300" i="4" s="1"/>
  <c r="B226" i="4"/>
  <c r="D226" i="4" s="1"/>
  <c r="F226" i="4" s="1"/>
  <c r="C225" i="4"/>
  <c r="D225" i="4" s="1"/>
  <c r="F225" i="4" s="1"/>
  <c r="B74" i="4"/>
  <c r="D59" i="7" s="1"/>
  <c r="B340" i="4"/>
  <c r="D340" i="4" s="1"/>
  <c r="F340" i="4" s="1"/>
  <c r="B263" i="4"/>
  <c r="D265" i="7" s="1"/>
  <c r="C262" i="4"/>
  <c r="D262" i="4" s="1"/>
  <c r="F262" i="4" s="1"/>
  <c r="B378" i="4"/>
  <c r="B188" i="4"/>
  <c r="B150" i="4"/>
  <c r="D142" i="7" s="1"/>
  <c r="C149" i="4"/>
  <c r="D149" i="4" s="1"/>
  <c r="F149" i="4" s="1"/>
  <c r="C187" i="4"/>
  <c r="D187" i="4" s="1"/>
  <c r="F187" i="4" s="1"/>
  <c r="B112" i="4"/>
  <c r="B35" i="4"/>
  <c r="C416" i="4"/>
  <c r="H26" i="3"/>
  <c r="I194" i="7"/>
  <c r="I71" i="7"/>
  <c r="I30" i="7"/>
  <c r="J30" i="7" l="1"/>
  <c r="D30" i="7" s="1"/>
  <c r="D398" i="7"/>
  <c r="D357" i="7"/>
  <c r="D275" i="7"/>
  <c r="D152" i="7"/>
  <c r="J194" i="7"/>
  <c r="J71" i="7"/>
  <c r="D71" i="7" s="1"/>
  <c r="C150" i="4"/>
  <c r="D150" i="4"/>
  <c r="F150" i="4" s="1"/>
  <c r="E416" i="4"/>
  <c r="D416" i="4"/>
  <c r="F416" i="4" s="1"/>
  <c r="C378" i="4"/>
  <c r="D378" i="4"/>
  <c r="F378" i="4" s="1"/>
  <c r="D454" i="4"/>
  <c r="F454" i="4" s="1"/>
  <c r="E112" i="4"/>
  <c r="D112" i="4"/>
  <c r="F112" i="4" s="1"/>
  <c r="C188" i="4"/>
  <c r="D188" i="4" s="1"/>
  <c r="F188" i="4" s="1"/>
  <c r="C340" i="4"/>
  <c r="C112" i="4"/>
  <c r="B302" i="4"/>
  <c r="D302" i="4" s="1"/>
  <c r="F302" i="4" s="1"/>
  <c r="C301" i="4"/>
  <c r="D301" i="4" s="1"/>
  <c r="F301" i="4" s="1"/>
  <c r="B264" i="4"/>
  <c r="C263" i="4"/>
  <c r="D263" i="4" s="1"/>
  <c r="F263" i="4" s="1"/>
  <c r="E226" i="4"/>
  <c r="C226" i="4"/>
  <c r="B36" i="4"/>
  <c r="B29" i="3"/>
  <c r="I482" i="7"/>
  <c r="I31" i="7"/>
  <c r="I399" i="7"/>
  <c r="I153" i="7"/>
  <c r="I276" i="7"/>
  <c r="I358" i="7"/>
  <c r="I381" i="4" l="1"/>
  <c r="I421" i="7"/>
  <c r="I191" i="4"/>
  <c r="I216" i="7"/>
  <c r="I77" i="4"/>
  <c r="I93" i="7"/>
  <c r="D194" i="7"/>
  <c r="J482" i="7"/>
  <c r="D482" i="7" s="1"/>
  <c r="J399" i="7"/>
  <c r="J358" i="7"/>
  <c r="J276" i="7"/>
  <c r="J153" i="7"/>
  <c r="D36" i="4"/>
  <c r="F36" i="4" s="1"/>
  <c r="J31" i="7"/>
  <c r="D31" i="7" s="1"/>
  <c r="D264" i="4"/>
  <c r="F264" i="4" s="1"/>
  <c r="E302" i="4"/>
  <c r="C302" i="4"/>
  <c r="C264" i="4"/>
  <c r="C29" i="3"/>
  <c r="I72" i="7"/>
  <c r="I195" i="7"/>
  <c r="J216" i="7" l="1"/>
  <c r="I267" i="4"/>
  <c r="I457" i="4" s="1"/>
  <c r="I459" i="4" s="1"/>
  <c r="I298" i="7"/>
  <c r="J93" i="7"/>
  <c r="J421" i="7"/>
  <c r="D399" i="7"/>
  <c r="D358" i="7"/>
  <c r="D276" i="7"/>
  <c r="D153" i="7"/>
  <c r="J195" i="7"/>
  <c r="B18" i="3"/>
  <c r="C18" i="3"/>
  <c r="J72" i="7"/>
  <c r="D72" i="7" s="1"/>
  <c r="D29" i="3"/>
  <c r="I217" i="7"/>
  <c r="I277" i="7"/>
  <c r="I422" i="7"/>
  <c r="I154" i="7"/>
  <c r="I400" i="7"/>
  <c r="I359" i="7"/>
  <c r="I483" i="7"/>
  <c r="I94" i="7"/>
  <c r="I32" i="7"/>
  <c r="J422" i="7" l="1"/>
  <c r="J94" i="7"/>
  <c r="J217" i="7"/>
  <c r="D421" i="7"/>
  <c r="J298" i="7"/>
  <c r="D93" i="7"/>
  <c r="D216" i="7"/>
  <c r="D195" i="7"/>
  <c r="J483" i="7"/>
  <c r="D483" i="7" s="1"/>
  <c r="J400" i="7"/>
  <c r="J359" i="7"/>
  <c r="J277" i="7"/>
  <c r="J154" i="7"/>
  <c r="J32" i="7"/>
  <c r="D32" i="7" s="1"/>
  <c r="E29" i="3"/>
  <c r="I196" i="7"/>
  <c r="I73" i="7"/>
  <c r="I218" i="7"/>
  <c r="I423" i="7"/>
  <c r="I95" i="7"/>
  <c r="I299" i="7"/>
  <c r="J299" i="7" l="1"/>
  <c r="D217" i="7"/>
  <c r="J218" i="7"/>
  <c r="J95" i="7"/>
  <c r="D94" i="7"/>
  <c r="D298" i="7"/>
  <c r="D422" i="7"/>
  <c r="J423" i="7"/>
  <c r="D400" i="7"/>
  <c r="D359" i="7"/>
  <c r="D277" i="7"/>
  <c r="D154" i="7"/>
  <c r="J196" i="7"/>
  <c r="J73" i="7"/>
  <c r="D73" i="7" s="1"/>
  <c r="F29" i="3"/>
  <c r="I484" i="7"/>
  <c r="I360" i="7"/>
  <c r="I155" i="7"/>
  <c r="I424" i="7"/>
  <c r="I278" i="7"/>
  <c r="I96" i="7"/>
  <c r="I33" i="7"/>
  <c r="I219" i="7"/>
  <c r="I300" i="7"/>
  <c r="I401" i="7"/>
  <c r="D218" i="7" l="1"/>
  <c r="J219" i="7"/>
  <c r="D423" i="7"/>
  <c r="J424" i="7"/>
  <c r="D95" i="7"/>
  <c r="J96" i="7"/>
  <c r="D299" i="7"/>
  <c r="J300" i="7"/>
  <c r="D196" i="7"/>
  <c r="J484" i="7"/>
  <c r="D484" i="7" s="1"/>
  <c r="J401" i="7"/>
  <c r="J360" i="7"/>
  <c r="J278" i="7"/>
  <c r="J155" i="7"/>
  <c r="J33" i="7"/>
  <c r="D33" i="7" s="1"/>
  <c r="G29" i="3"/>
  <c r="I97" i="7"/>
  <c r="I301" i="7"/>
  <c r="I74" i="7"/>
  <c r="I220" i="7"/>
  <c r="I197" i="7"/>
  <c r="I425" i="7"/>
  <c r="D300" i="7" l="1"/>
  <c r="J301" i="7"/>
  <c r="D424" i="7"/>
  <c r="J425" i="7"/>
  <c r="D219" i="7"/>
  <c r="J220" i="7"/>
  <c r="D96" i="7"/>
  <c r="J97" i="7"/>
  <c r="D401" i="7"/>
  <c r="D360" i="7"/>
  <c r="D278" i="7"/>
  <c r="D155" i="7"/>
  <c r="J197" i="7"/>
  <c r="J74" i="7"/>
  <c r="D74" i="7" s="1"/>
  <c r="H29" i="3"/>
  <c r="C7" i="4"/>
  <c r="D7" i="4" s="1"/>
  <c r="C8" i="4"/>
  <c r="D8" i="4" s="1"/>
  <c r="C9" i="4"/>
  <c r="D9" i="4" s="1"/>
  <c r="I361" i="7"/>
  <c r="I426" i="7"/>
  <c r="I279" i="7"/>
  <c r="I34" i="7"/>
  <c r="I402" i="7"/>
  <c r="I98" i="7"/>
  <c r="I221" i="7"/>
  <c r="I156" i="7"/>
  <c r="I302" i="7"/>
  <c r="I485" i="7"/>
  <c r="F9" i="4" l="1"/>
  <c r="F18" i="3"/>
  <c r="F8" i="4"/>
  <c r="E18" i="3"/>
  <c r="F7" i="4"/>
  <c r="D18" i="3"/>
  <c r="D220" i="7"/>
  <c r="J221" i="7"/>
  <c r="D301" i="7"/>
  <c r="J302" i="7"/>
  <c r="D97" i="7"/>
  <c r="J98" i="7"/>
  <c r="D425" i="7"/>
  <c r="J426" i="7"/>
  <c r="D197" i="7"/>
  <c r="J485" i="7"/>
  <c r="D485" i="7" s="1"/>
  <c r="J402" i="7"/>
  <c r="J361" i="7"/>
  <c r="J279" i="7"/>
  <c r="J156" i="7"/>
  <c r="J34" i="7"/>
  <c r="D34" i="7" s="1"/>
  <c r="B32" i="3"/>
  <c r="C10" i="4"/>
  <c r="D10" i="4" s="1"/>
  <c r="I198" i="7"/>
  <c r="I303" i="7"/>
  <c r="I99" i="7"/>
  <c r="I75" i="7"/>
  <c r="I222" i="7"/>
  <c r="I427" i="7"/>
  <c r="F10" i="4" l="1"/>
  <c r="G18" i="3"/>
  <c r="D426" i="7"/>
  <c r="J427" i="7"/>
  <c r="D302" i="7"/>
  <c r="J303" i="7"/>
  <c r="D98" i="7"/>
  <c r="J99" i="7"/>
  <c r="D221" i="7"/>
  <c r="J222" i="7"/>
  <c r="D402" i="7"/>
  <c r="D361" i="7"/>
  <c r="D279" i="7"/>
  <c r="D156" i="7"/>
  <c r="J198" i="7"/>
  <c r="J75" i="7"/>
  <c r="D75" i="7" s="1"/>
  <c r="C32" i="3"/>
  <c r="C11" i="4"/>
  <c r="D11" i="4" s="1"/>
  <c r="I362" i="7"/>
  <c r="I35" i="7"/>
  <c r="I403" i="7"/>
  <c r="I157" i="7"/>
  <c r="I304" i="7"/>
  <c r="I280" i="7"/>
  <c r="I486" i="7"/>
  <c r="I223" i="7"/>
  <c r="I428" i="7"/>
  <c r="I100" i="7"/>
  <c r="F11" i="4" l="1"/>
  <c r="H18" i="3"/>
  <c r="D99" i="7"/>
  <c r="J100" i="7"/>
  <c r="D427" i="7"/>
  <c r="J428" i="7"/>
  <c r="D222" i="7"/>
  <c r="J223" i="7"/>
  <c r="D303" i="7"/>
  <c r="J304" i="7"/>
  <c r="D198" i="7"/>
  <c r="J486" i="7"/>
  <c r="D486" i="7" s="1"/>
  <c r="J403" i="7"/>
  <c r="J362" i="7"/>
  <c r="J280" i="7"/>
  <c r="J157" i="7"/>
  <c r="J35" i="7"/>
  <c r="D35" i="7" s="1"/>
  <c r="D32" i="3"/>
  <c r="C12" i="4"/>
  <c r="D12" i="4" s="1"/>
  <c r="I224" i="7"/>
  <c r="I76" i="7"/>
  <c r="I199" i="7"/>
  <c r="I429" i="7"/>
  <c r="I305" i="7"/>
  <c r="I101" i="7"/>
  <c r="F12" i="4" l="1"/>
  <c r="B21" i="3"/>
  <c r="D304" i="7"/>
  <c r="J305" i="7"/>
  <c r="D428" i="7"/>
  <c r="J429" i="7"/>
  <c r="D223" i="7"/>
  <c r="J224" i="7"/>
  <c r="D100" i="7"/>
  <c r="J101" i="7"/>
  <c r="D403" i="7"/>
  <c r="D362" i="7"/>
  <c r="D280" i="7"/>
  <c r="D157" i="7"/>
  <c r="J199" i="7"/>
  <c r="J76" i="7"/>
  <c r="D76" i="7" s="1"/>
  <c r="E32" i="3"/>
  <c r="C13" i="4"/>
  <c r="D13" i="4" s="1"/>
  <c r="I404" i="7"/>
  <c r="I430" i="7"/>
  <c r="I487" i="7"/>
  <c r="I306" i="7"/>
  <c r="I102" i="7"/>
  <c r="I225" i="7"/>
  <c r="I158" i="7"/>
  <c r="I281" i="7"/>
  <c r="I363" i="7"/>
  <c r="I36" i="7"/>
  <c r="F13" i="4" l="1"/>
  <c r="C21" i="3"/>
  <c r="D429" i="7"/>
  <c r="J430" i="7"/>
  <c r="D101" i="7"/>
  <c r="J102" i="7"/>
  <c r="D224" i="7"/>
  <c r="J225" i="7"/>
  <c r="D305" i="7"/>
  <c r="J306" i="7"/>
  <c r="D199" i="7"/>
  <c r="J487" i="7"/>
  <c r="D487" i="7" s="1"/>
  <c r="J404" i="7"/>
  <c r="J363" i="7"/>
  <c r="J281" i="7"/>
  <c r="J158" i="7"/>
  <c r="J36" i="7"/>
  <c r="D36" i="7" s="1"/>
  <c r="F32" i="3"/>
  <c r="C14" i="4"/>
  <c r="D14" i="4" s="1"/>
  <c r="I200" i="7"/>
  <c r="I103" i="7"/>
  <c r="I307" i="7"/>
  <c r="I77" i="7"/>
  <c r="I431" i="7"/>
  <c r="I226" i="7"/>
  <c r="F14" i="4" l="1"/>
  <c r="D21" i="3"/>
  <c r="D430" i="7"/>
  <c r="J431" i="7"/>
  <c r="D102" i="7"/>
  <c r="J103" i="7"/>
  <c r="D306" i="7"/>
  <c r="J307" i="7"/>
  <c r="D225" i="7"/>
  <c r="J226" i="7"/>
  <c r="D404" i="7"/>
  <c r="D363" i="7"/>
  <c r="D281" i="7"/>
  <c r="D158" i="7"/>
  <c r="J200" i="7"/>
  <c r="J77" i="7"/>
  <c r="D77" i="7" s="1"/>
  <c r="G32" i="3"/>
  <c r="C15" i="4"/>
  <c r="D15" i="4" s="1"/>
  <c r="I308" i="7"/>
  <c r="I432" i="7"/>
  <c r="I488" i="7"/>
  <c r="I405" i="7"/>
  <c r="I282" i="7"/>
  <c r="I364" i="7"/>
  <c r="I159" i="7"/>
  <c r="I227" i="7"/>
  <c r="I104" i="7"/>
  <c r="I37" i="7"/>
  <c r="F15" i="4" l="1"/>
  <c r="E21" i="3"/>
  <c r="D431" i="7"/>
  <c r="J432" i="7"/>
  <c r="D226" i="7"/>
  <c r="J227" i="7"/>
  <c r="D103" i="7"/>
  <c r="J104" i="7"/>
  <c r="D307" i="7"/>
  <c r="J308" i="7"/>
  <c r="D200" i="7"/>
  <c r="J488" i="7"/>
  <c r="D488" i="7" s="1"/>
  <c r="J405" i="7"/>
  <c r="J364" i="7"/>
  <c r="J282" i="7"/>
  <c r="J159" i="7"/>
  <c r="J37" i="7"/>
  <c r="D37" i="7" s="1"/>
  <c r="H32" i="3"/>
  <c r="C16" i="4"/>
  <c r="D16" i="4" s="1"/>
  <c r="I433" i="7"/>
  <c r="I228" i="7"/>
  <c r="I309" i="7"/>
  <c r="I105" i="7"/>
  <c r="I78" i="7"/>
  <c r="I201" i="7"/>
  <c r="F16" i="4" l="1"/>
  <c r="F21" i="3"/>
  <c r="D104" i="7"/>
  <c r="J105" i="7"/>
  <c r="D432" i="7"/>
  <c r="J433" i="7"/>
  <c r="D308" i="7"/>
  <c r="J309" i="7"/>
  <c r="D227" i="7"/>
  <c r="J228" i="7"/>
  <c r="D405" i="7"/>
  <c r="D364" i="7"/>
  <c r="D282" i="7"/>
  <c r="D159" i="7"/>
  <c r="J201" i="7"/>
  <c r="J78" i="7"/>
  <c r="D78" i="7" s="1"/>
  <c r="C17" i="4"/>
  <c r="I406" i="7"/>
  <c r="I489" i="7"/>
  <c r="I283" i="7"/>
  <c r="I434" i="7"/>
  <c r="I160" i="7"/>
  <c r="I38" i="7"/>
  <c r="I365" i="7"/>
  <c r="I229" i="7"/>
  <c r="I106" i="7"/>
  <c r="I310" i="7"/>
  <c r="D228" i="7" l="1"/>
  <c r="J229" i="7"/>
  <c r="D433" i="7"/>
  <c r="J434" i="7"/>
  <c r="D309" i="7"/>
  <c r="J310" i="7"/>
  <c r="D105" i="7"/>
  <c r="J106" i="7"/>
  <c r="D201" i="7"/>
  <c r="J489" i="7"/>
  <c r="J406" i="7"/>
  <c r="J365" i="7"/>
  <c r="J283" i="7"/>
  <c r="J160" i="7"/>
  <c r="J38" i="7"/>
  <c r="D17" i="4"/>
  <c r="C18" i="4"/>
  <c r="D18" i="4" s="1"/>
  <c r="I202" i="7"/>
  <c r="I490" i="7"/>
  <c r="I435" i="7"/>
  <c r="I79" i="7"/>
  <c r="I107" i="7"/>
  <c r="I311" i="7"/>
  <c r="I230" i="7"/>
  <c r="F17" i="4" l="1"/>
  <c r="G21" i="3"/>
  <c r="F18" i="4"/>
  <c r="D106" i="7"/>
  <c r="J107" i="7"/>
  <c r="D434" i="7"/>
  <c r="J435" i="7"/>
  <c r="D229" i="7"/>
  <c r="J230" i="7"/>
  <c r="D310" i="7"/>
  <c r="J311" i="7"/>
  <c r="D406" i="7"/>
  <c r="D365" i="7"/>
  <c r="D283" i="7"/>
  <c r="D160" i="7"/>
  <c r="J202" i="7"/>
  <c r="J79" i="7"/>
  <c r="C19" i="4"/>
  <c r="D19" i="4" s="1"/>
  <c r="I161" i="7"/>
  <c r="I284" i="7"/>
  <c r="I231" i="7"/>
  <c r="I407" i="7"/>
  <c r="I366" i="7"/>
  <c r="I80" i="7"/>
  <c r="I312" i="7"/>
  <c r="I436" i="7"/>
  <c r="I108" i="7"/>
  <c r="I39" i="7"/>
  <c r="I203" i="7"/>
  <c r="F19" i="4" l="1"/>
  <c r="B24" i="3"/>
  <c r="D311" i="7"/>
  <c r="J312" i="7"/>
  <c r="D435" i="7"/>
  <c r="J436" i="7"/>
  <c r="D230" i="7"/>
  <c r="J231" i="7"/>
  <c r="D107" i="7"/>
  <c r="J108" i="7"/>
  <c r="J490" i="7"/>
  <c r="J407" i="7"/>
  <c r="J366" i="7"/>
  <c r="J284" i="7"/>
  <c r="J161" i="7"/>
  <c r="J39" i="7"/>
  <c r="C20" i="4"/>
  <c r="I285" i="7"/>
  <c r="I109" i="7"/>
  <c r="I437" i="7"/>
  <c r="I408" i="7"/>
  <c r="I367" i="7"/>
  <c r="I491" i="7"/>
  <c r="I313" i="7"/>
  <c r="I162" i="7"/>
  <c r="I40" i="7"/>
  <c r="I232" i="7"/>
  <c r="D108" i="7" l="1"/>
  <c r="J109" i="7"/>
  <c r="D436" i="7"/>
  <c r="J437" i="7"/>
  <c r="D231" i="7"/>
  <c r="J232" i="7"/>
  <c r="D312" i="7"/>
  <c r="J313" i="7"/>
  <c r="J203" i="7"/>
  <c r="J80" i="7"/>
  <c r="J40" i="7"/>
  <c r="D20" i="4"/>
  <c r="C21" i="4"/>
  <c r="D21" i="4" s="1"/>
  <c r="I438" i="7"/>
  <c r="I81" i="7"/>
  <c r="I233" i="7"/>
  <c r="I204" i="7"/>
  <c r="I41" i="7"/>
  <c r="I314" i="7"/>
  <c r="I110" i="7"/>
  <c r="F20" i="4" l="1"/>
  <c r="C24" i="3"/>
  <c r="F21" i="4"/>
  <c r="D24" i="3"/>
  <c r="D313" i="7"/>
  <c r="J314" i="7"/>
  <c r="D437" i="7"/>
  <c r="J438" i="7"/>
  <c r="D232" i="7"/>
  <c r="J233" i="7"/>
  <c r="D109" i="7"/>
  <c r="J110" i="7"/>
  <c r="J491" i="7"/>
  <c r="J408" i="7"/>
  <c r="J367" i="7"/>
  <c r="J285" i="7"/>
  <c r="J162" i="7"/>
  <c r="J41" i="7"/>
  <c r="C22" i="4"/>
  <c r="I409" i="7"/>
  <c r="I234" i="7"/>
  <c r="I286" i="7"/>
  <c r="I492" i="7"/>
  <c r="I315" i="7"/>
  <c r="I439" i="7"/>
  <c r="I163" i="7"/>
  <c r="I111" i="7"/>
  <c r="I368" i="7"/>
  <c r="D110" i="7" l="1"/>
  <c r="J111" i="7"/>
  <c r="D438" i="7"/>
  <c r="J439" i="7"/>
  <c r="D233" i="7"/>
  <c r="J234" i="7"/>
  <c r="D314" i="7"/>
  <c r="J315" i="7"/>
  <c r="J204" i="7"/>
  <c r="J81" i="7"/>
  <c r="D22" i="4"/>
  <c r="C23" i="4"/>
  <c r="D23" i="4" s="1"/>
  <c r="I112" i="7"/>
  <c r="I316" i="7"/>
  <c r="I82" i="7"/>
  <c r="I235" i="7"/>
  <c r="I440" i="7"/>
  <c r="I205" i="7"/>
  <c r="F23" i="4" l="1"/>
  <c r="F24" i="3"/>
  <c r="F22" i="4"/>
  <c r="E24" i="3"/>
  <c r="D315" i="7"/>
  <c r="J316" i="7"/>
  <c r="D439" i="7"/>
  <c r="J440" i="7"/>
  <c r="D234" i="7"/>
  <c r="J235" i="7"/>
  <c r="D111" i="7"/>
  <c r="J112" i="7"/>
  <c r="J492" i="7"/>
  <c r="J409" i="7"/>
  <c r="J368" i="7"/>
  <c r="J286" i="7"/>
  <c r="J163" i="7"/>
  <c r="C24" i="4"/>
  <c r="I164" i="7"/>
  <c r="I410" i="7"/>
  <c r="I236" i="7"/>
  <c r="I287" i="7"/>
  <c r="I317" i="7"/>
  <c r="I369" i="7"/>
  <c r="I441" i="7"/>
  <c r="I113" i="7"/>
  <c r="D112" i="7" l="1"/>
  <c r="J113" i="7"/>
  <c r="D440" i="7"/>
  <c r="J441" i="7"/>
  <c r="D235" i="7"/>
  <c r="J236" i="7"/>
  <c r="D316" i="7"/>
  <c r="J317" i="7"/>
  <c r="J205" i="7"/>
  <c r="J82" i="7"/>
  <c r="D24" i="4"/>
  <c r="C25" i="4"/>
  <c r="I237" i="7"/>
  <c r="I114" i="7"/>
  <c r="I318" i="7"/>
  <c r="I442" i="7"/>
  <c r="F24" i="4" l="1"/>
  <c r="G24" i="3"/>
  <c r="D317" i="7"/>
  <c r="J318" i="7"/>
  <c r="D441" i="7"/>
  <c r="J442" i="7"/>
  <c r="D236" i="7"/>
  <c r="J237" i="7"/>
  <c r="D113" i="7"/>
  <c r="J114" i="7"/>
  <c r="J410" i="7"/>
  <c r="J369" i="7"/>
  <c r="J287" i="7"/>
  <c r="J164" i="7"/>
  <c r="D25" i="4"/>
  <c r="C26" i="4"/>
  <c r="I443" i="7"/>
  <c r="I115" i="7"/>
  <c r="I238" i="7"/>
  <c r="I319" i="7"/>
  <c r="F25" i="4" l="1"/>
  <c r="H24" i="3"/>
  <c r="D114" i="7"/>
  <c r="J115" i="7"/>
  <c r="D442" i="7"/>
  <c r="J443" i="7"/>
  <c r="D237" i="7"/>
  <c r="J238" i="7"/>
  <c r="D318" i="7"/>
  <c r="J319" i="7"/>
  <c r="D26" i="4"/>
  <c r="C27" i="4"/>
  <c r="I444" i="7"/>
  <c r="I320" i="7"/>
  <c r="I116" i="7"/>
  <c r="I239" i="7"/>
  <c r="F26" i="4" l="1"/>
  <c r="B27" i="3"/>
  <c r="D319" i="7"/>
  <c r="J320" i="7"/>
  <c r="D443" i="7"/>
  <c r="J444" i="7"/>
  <c r="D238" i="7"/>
  <c r="J239" i="7"/>
  <c r="D115" i="7"/>
  <c r="J116" i="7"/>
  <c r="D27" i="4"/>
  <c r="C28" i="4"/>
  <c r="D28" i="4" s="1"/>
  <c r="I445" i="7"/>
  <c r="I321" i="7"/>
  <c r="I240" i="7"/>
  <c r="I117" i="7"/>
  <c r="F28" i="4" l="1"/>
  <c r="D27" i="3"/>
  <c r="F27" i="4"/>
  <c r="C27" i="3"/>
  <c r="D116" i="7"/>
  <c r="J117" i="7"/>
  <c r="D444" i="7"/>
  <c r="J445" i="7"/>
  <c r="D239" i="7"/>
  <c r="J240" i="7"/>
  <c r="D320" i="7"/>
  <c r="J321" i="7"/>
  <c r="C29" i="4"/>
  <c r="I446" i="7"/>
  <c r="I118" i="7"/>
  <c r="I241" i="7"/>
  <c r="I322" i="7"/>
  <c r="D445" i="7" l="1"/>
  <c r="J446" i="7"/>
  <c r="D240" i="7"/>
  <c r="J241" i="7"/>
  <c r="D117" i="7"/>
  <c r="J118" i="7"/>
  <c r="D321" i="7"/>
  <c r="J322" i="7"/>
  <c r="D29" i="4"/>
  <c r="C30" i="4"/>
  <c r="D30" i="4" s="1"/>
  <c r="I119" i="7"/>
  <c r="I447" i="7"/>
  <c r="I242" i="7"/>
  <c r="I323" i="7"/>
  <c r="F30" i="4" l="1"/>
  <c r="F27" i="3"/>
  <c r="F29" i="4"/>
  <c r="E27" i="3"/>
  <c r="D322" i="7"/>
  <c r="J323" i="7"/>
  <c r="D241" i="7"/>
  <c r="J242" i="7"/>
  <c r="D118" i="7"/>
  <c r="J119" i="7"/>
  <c r="D446" i="7"/>
  <c r="J447" i="7"/>
  <c r="C31" i="4"/>
  <c r="I324" i="7"/>
  <c r="I120" i="7"/>
  <c r="I243" i="7"/>
  <c r="I448" i="7"/>
  <c r="D119" i="7" l="1"/>
  <c r="J120" i="7"/>
  <c r="D323" i="7"/>
  <c r="J324" i="7"/>
  <c r="D447" i="7"/>
  <c r="J448" i="7"/>
  <c r="D242" i="7"/>
  <c r="J243" i="7"/>
  <c r="D31" i="4"/>
  <c r="C32" i="4"/>
  <c r="D32" i="4" s="1"/>
  <c r="I449" i="7"/>
  <c r="I121" i="7"/>
  <c r="I325" i="7"/>
  <c r="I244" i="7"/>
  <c r="F32" i="4" l="1"/>
  <c r="H27" i="3"/>
  <c r="F31" i="4"/>
  <c r="G27" i="3"/>
  <c r="J244" i="7"/>
  <c r="D324" i="7"/>
  <c r="J325" i="7"/>
  <c r="J449" i="7"/>
  <c r="J121" i="7"/>
  <c r="C33" i="4"/>
  <c r="D33" i="4" s="1"/>
  <c r="I122" i="7"/>
  <c r="I245" i="7"/>
  <c r="I326" i="7"/>
  <c r="I450" i="7"/>
  <c r="F33" i="4" l="1"/>
  <c r="B30" i="3"/>
  <c r="J450" i="7"/>
  <c r="J326" i="7"/>
  <c r="J122" i="7"/>
  <c r="J245" i="7"/>
  <c r="C34" i="4"/>
  <c r="D34" i="4" s="1"/>
  <c r="I123" i="7"/>
  <c r="I246" i="7"/>
  <c r="I327" i="7"/>
  <c r="I451" i="7"/>
  <c r="F34" i="4" l="1"/>
  <c r="C30" i="3"/>
  <c r="J246" i="7"/>
  <c r="J123" i="7"/>
  <c r="J327" i="7"/>
  <c r="J451" i="7"/>
  <c r="C35" i="4"/>
  <c r="D35" i="4" s="1"/>
  <c r="E30" i="3" s="1"/>
  <c r="C36" i="4"/>
  <c r="C45" i="4"/>
  <c r="D45" i="4" s="1"/>
  <c r="C46" i="4"/>
  <c r="D46" i="4" s="1"/>
  <c r="I328" i="7"/>
  <c r="F45" i="4" l="1"/>
  <c r="F30" i="3"/>
  <c r="F35" i="4"/>
  <c r="D30" i="3"/>
  <c r="F46" i="4"/>
  <c r="G30" i="3"/>
  <c r="J328" i="7"/>
  <c r="C47" i="4"/>
  <c r="D47" i="4" s="1"/>
  <c r="F47" i="4" l="1"/>
  <c r="H30" i="3"/>
  <c r="C48" i="4"/>
  <c r="D48" i="4" s="1"/>
  <c r="F48" i="4" l="1"/>
  <c r="B33" i="3"/>
  <c r="C49" i="4"/>
  <c r="D49" i="4" s="1"/>
  <c r="F49" i="4" l="1"/>
  <c r="C33" i="3"/>
  <c r="C50" i="4"/>
  <c r="D50" i="4" s="1"/>
  <c r="F50" i="4" l="1"/>
  <c r="D33" i="3"/>
  <c r="C51" i="4"/>
  <c r="D51" i="4" s="1"/>
  <c r="F51" i="4" l="1"/>
  <c r="E33" i="3"/>
  <c r="C52" i="4"/>
  <c r="D52" i="4" s="1"/>
  <c r="F52" i="4" l="1"/>
  <c r="F33" i="3"/>
  <c r="C53" i="4"/>
  <c r="D53" i="4" s="1"/>
  <c r="H21" i="3" s="1"/>
  <c r="F53" i="4" l="1"/>
  <c r="G33" i="3"/>
  <c r="C54" i="4"/>
  <c r="D54" i="4" s="1"/>
  <c r="F54" i="4" l="1"/>
  <c r="H33" i="3"/>
  <c r="C55" i="4"/>
  <c r="D55" i="4" s="1"/>
  <c r="F55" i="4" s="1"/>
  <c r="C56" i="4" l="1"/>
  <c r="D56" i="4" s="1"/>
  <c r="F56" i="4" s="1"/>
  <c r="C57" i="4" l="1"/>
  <c r="D57" i="4" s="1"/>
  <c r="F57" i="4" s="1"/>
  <c r="C58" i="4" l="1"/>
  <c r="D58" i="4" s="1"/>
  <c r="F58" i="4" s="1"/>
  <c r="C59" i="4" l="1"/>
  <c r="D59" i="4" s="1"/>
  <c r="F59" i="4" s="1"/>
  <c r="C60" i="4" l="1"/>
  <c r="D60" i="4" s="1"/>
  <c r="F60" i="4" s="1"/>
  <c r="C61" i="4" l="1"/>
  <c r="D61" i="4" s="1"/>
  <c r="F61" i="4" s="1"/>
  <c r="C62" i="4" l="1"/>
  <c r="D62" i="4" s="1"/>
  <c r="F62" i="4" s="1"/>
  <c r="C63" i="4" l="1"/>
  <c r="D63" i="4" s="1"/>
  <c r="F63" i="4" s="1"/>
  <c r="C64" i="4" l="1"/>
  <c r="D64" i="4" s="1"/>
  <c r="F64" i="4" s="1"/>
  <c r="C65" i="4" l="1"/>
  <c r="D65" i="4" s="1"/>
  <c r="F65" i="4" s="1"/>
  <c r="C66" i="4" l="1"/>
  <c r="D66" i="4" s="1"/>
  <c r="F66" i="4" s="1"/>
  <c r="C67" i="4" l="1"/>
  <c r="D67" i="4" s="1"/>
  <c r="F67" i="4" s="1"/>
  <c r="C68" i="4" l="1"/>
  <c r="D68" i="4" s="1"/>
  <c r="F68" i="4" s="1"/>
  <c r="C69" i="4" l="1"/>
  <c r="D69" i="4" s="1"/>
  <c r="F69" i="4" s="1"/>
  <c r="C70" i="4" l="1"/>
  <c r="D70" i="4" s="1"/>
  <c r="F70" i="4" s="1"/>
  <c r="C71" i="4" l="1"/>
  <c r="D71" i="4" s="1"/>
  <c r="F71" i="4" s="1"/>
  <c r="C72" i="4" l="1"/>
  <c r="D72" i="4" s="1"/>
  <c r="F72" i="4" s="1"/>
  <c r="C73" i="4" l="1"/>
  <c r="D73" i="4" s="1"/>
  <c r="F73" i="4" s="1"/>
  <c r="C74" i="4" l="1"/>
  <c r="D74" i="4" s="1"/>
  <c r="F7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furuya</author>
  </authors>
  <commentList>
    <comment ref="E3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「祝日」情報は、健康福祉局で情報を
更新して、毎年度、ファイルを渡します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</text>
    </comment>
    <comment ref="C4" authorId="0" shapeId="0" xr:uid="{00000000-0006-0000-0100-000002000000}">
      <text>
        <r>
          <rPr>
            <b/>
            <sz val="10"/>
            <color indexed="81"/>
            <rFont val="BIZ UDPゴシック"/>
            <family val="3"/>
            <charset val="128"/>
          </rPr>
          <t>赤枠内に、各ケアプラザの施設点検日を入力ください（12か月分）
（この例示を消して入力してください）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4" authorId="0" shapeId="0" xr:uid="{00000000-0006-0000-01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毎年、振替休日が異なるので注意！
（健康福祉局内での注意）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地域支援課</author>
  </authors>
  <commentList>
    <comment ref="B1" authorId="0" shapeId="0" xr:uid="{00000000-0006-0000-0200-000001000000}">
      <text>
        <r>
          <rPr>
            <b/>
            <sz val="11"/>
            <color indexed="81"/>
            <rFont val="MS P ゴシック"/>
            <family val="3"/>
            <charset val="128"/>
          </rPr>
          <t>健康福祉局が入力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furuya</author>
  </authors>
  <commentList>
    <comment ref="B11" authorId="0" shapeId="0" xr:uid="{00000000-0006-0000-0400-000001000000}">
      <text>
        <r>
          <rPr>
            <b/>
            <sz val="10"/>
            <color indexed="81"/>
            <rFont val="BIZ UDPゴシック"/>
            <family val="3"/>
            <charset val="128"/>
          </rPr>
          <t>西暦(数字のみ)を入力してください</t>
        </r>
      </text>
    </comment>
    <comment ref="D11" authorId="1" shapeId="0" xr:uid="{00000000-0006-0000-0400-000002000000}">
      <text>
        <r>
          <rPr>
            <b/>
            <sz val="11"/>
            <color indexed="81"/>
            <rFont val="BIZ UDPゴシック"/>
            <family val="3"/>
            <charset val="128"/>
          </rPr>
          <t>月を選択・入力(数字のみ)してください</t>
        </r>
      </text>
    </comment>
  </commentList>
</comments>
</file>

<file path=xl/sharedStrings.xml><?xml version="1.0" encoding="utf-8"?>
<sst xmlns="http://schemas.openxmlformats.org/spreadsheetml/2006/main" count="413" uniqueCount="113">
  <si>
    <t>（様式１）</t>
    <rPh sb="1" eb="3">
      <t>ヨウシキ</t>
    </rPh>
    <phoneticPr fontId="1"/>
  </si>
  <si>
    <t>木</t>
  </si>
  <si>
    <t>金</t>
  </si>
  <si>
    <t>土</t>
  </si>
  <si>
    <t>日</t>
  </si>
  <si>
    <t>月</t>
  </si>
  <si>
    <t>火</t>
  </si>
  <si>
    <t>水</t>
  </si>
  <si>
    <t>＜市民へのお知らせイメージ（館内掲示やホームページ掲載）＞</t>
    <rPh sb="1" eb="3">
      <t>シミン</t>
    </rPh>
    <rPh sb="6" eb="7">
      <t>シ</t>
    </rPh>
    <rPh sb="14" eb="16">
      <t>カンナイ</t>
    </rPh>
    <rPh sb="16" eb="18">
      <t>ケイジ</t>
    </rPh>
    <rPh sb="25" eb="27">
      <t>ケイサイ</t>
    </rPh>
    <phoneticPr fontId="3"/>
  </si>
  <si>
    <t>年</t>
    <rPh sb="0" eb="1">
      <t>ネン</t>
    </rPh>
    <phoneticPr fontId="1"/>
  </si>
  <si>
    <t>日付</t>
    <rPh sb="0" eb="2">
      <t>ヒヅケ</t>
    </rPh>
    <phoneticPr fontId="1"/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</si>
  <si>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</si>
  <si>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</si>
  <si>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</si>
  <si>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</si>
  <si>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</si>
  <si>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</si>
  <si>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</si>
  <si>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</si>
  <si>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</si>
  <si>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元日</t>
  </si>
  <si>
    <t>成人の日</t>
  </si>
  <si>
    <t>建国記念の日</t>
  </si>
  <si>
    <t>天皇誕生日</t>
  </si>
  <si>
    <t>春分の日</t>
  </si>
  <si>
    <t>月</t>
    <phoneticPr fontId="1"/>
  </si>
  <si>
    <t>地域ケアプラザ夜間開館・閉館入力表</t>
    <rPh sb="0" eb="2">
      <t>チイキ</t>
    </rPh>
    <rPh sb="12" eb="14">
      <t>ヘイカン</t>
    </rPh>
    <rPh sb="14" eb="16">
      <t>ニュウリョク</t>
    </rPh>
    <phoneticPr fontId="1"/>
  </si>
  <si>
    <t>「休館日・祝日」シートに施設点検日による休館日を入力した上で、このシートに入力してください。</t>
    <rPh sb="1" eb="4">
      <t>キュウカンビ</t>
    </rPh>
    <rPh sb="5" eb="7">
      <t>シュクジツ</t>
    </rPh>
    <rPh sb="12" eb="14">
      <t>シセツ</t>
    </rPh>
    <rPh sb="14" eb="16">
      <t>テンケン</t>
    </rPh>
    <rPh sb="16" eb="17">
      <t>ビ</t>
    </rPh>
    <rPh sb="20" eb="22">
      <t>キュウカン</t>
    </rPh>
    <rPh sb="22" eb="23">
      <t>ビ</t>
    </rPh>
    <rPh sb="24" eb="26">
      <t>ニュウリョク</t>
    </rPh>
    <rPh sb="28" eb="29">
      <t>ウエ</t>
    </rPh>
    <rPh sb="37" eb="39">
      <t>ニュウリョク</t>
    </rPh>
    <phoneticPr fontId="1"/>
  </si>
  <si>
    <t>月</t>
    <rPh sb="0" eb="1">
      <t>ガツ</t>
    </rPh>
    <phoneticPr fontId="1"/>
  </si>
  <si>
    <t>曜日</t>
    <rPh sb="0" eb="2">
      <t>ヨウビ</t>
    </rPh>
    <phoneticPr fontId="22"/>
  </si>
  <si>
    <t>備考</t>
    <rPh sb="0" eb="2">
      <t>ビコウ</t>
    </rPh>
    <phoneticPr fontId="1"/>
  </si>
  <si>
    <t>スポーツの日</t>
    <rPh sb="5" eb="6">
      <t>ヒ</t>
    </rPh>
    <phoneticPr fontId="1"/>
  </si>
  <si>
    <t>振替休日</t>
    <rPh sb="0" eb="2">
      <t>フリカエ</t>
    </rPh>
    <rPh sb="2" eb="4">
      <t>キュウジツ</t>
    </rPh>
    <phoneticPr fontId="1"/>
  </si>
  <si>
    <t>利用申込のない夜間閉館</t>
    <rPh sb="0" eb="2">
      <t>リヨウ</t>
    </rPh>
    <rPh sb="2" eb="3">
      <t>モウ</t>
    </rPh>
    <rPh sb="3" eb="4">
      <t>コ</t>
    </rPh>
    <rPh sb="7" eb="9">
      <t>ヤカン</t>
    </rPh>
    <rPh sb="9" eb="11">
      <t>ヘイカン</t>
    </rPh>
    <phoneticPr fontId="1"/>
  </si>
  <si>
    <t>休館日
（年末年始・施設点検日）</t>
    <rPh sb="0" eb="3">
      <t>キュウカンビ</t>
    </rPh>
    <rPh sb="5" eb="7">
      <t>ネンマツ</t>
    </rPh>
    <rPh sb="7" eb="9">
      <t>ネンシ</t>
    </rPh>
    <rPh sb="10" eb="12">
      <t>シセツ</t>
    </rPh>
    <rPh sb="12" eb="14">
      <t>テンケン</t>
    </rPh>
    <rPh sb="14" eb="15">
      <t>ビ</t>
    </rPh>
    <phoneticPr fontId="1"/>
  </si>
  <si>
    <t>「利用申込のない夜間閉館」について</t>
    <rPh sb="1" eb="5">
      <t>リヨウモウシコミ</t>
    </rPh>
    <rPh sb="8" eb="10">
      <t>ヤカン</t>
    </rPh>
    <rPh sb="10" eb="12">
      <t>ヘイカン</t>
    </rPh>
    <phoneticPr fontId="1"/>
  </si>
  <si>
    <t>名称</t>
    <rPh sb="0" eb="2">
      <t>メイショウ</t>
    </rPh>
    <phoneticPr fontId="1"/>
  </si>
  <si>
    <t>■施設点検日による休館日</t>
    <rPh sb="1" eb="3">
      <t>シセツ</t>
    </rPh>
    <rPh sb="3" eb="5">
      <t>テンケン</t>
    </rPh>
    <rPh sb="5" eb="6">
      <t>ビ</t>
    </rPh>
    <rPh sb="9" eb="12">
      <t>キュウカンビ</t>
    </rPh>
    <phoneticPr fontId="1"/>
  </si>
  <si>
    <t>利用申込のない夜間閉館</t>
    <rPh sb="0" eb="4">
      <t>リヨウモウシコミ</t>
    </rPh>
    <rPh sb="7" eb="9">
      <t>ヤカン</t>
    </rPh>
    <rPh sb="9" eb="11">
      <t>ヘイカン</t>
    </rPh>
    <phoneticPr fontId="1"/>
  </si>
  <si>
    <t>閉館時間等</t>
    <rPh sb="0" eb="2">
      <t>ヘイカン</t>
    </rPh>
    <rPh sb="2" eb="4">
      <t>ジカン</t>
    </rPh>
    <rPh sb="4" eb="5">
      <t>トウ</t>
    </rPh>
    <phoneticPr fontId="1"/>
  </si>
  <si>
    <t xml:space="preserve">月～土
</t>
    <phoneticPr fontId="1"/>
  </si>
  <si>
    <t>日・祝</t>
    <phoneticPr fontId="1"/>
  </si>
  <si>
    <t>17時閉館</t>
    <rPh sb="2" eb="3">
      <t>ジ</t>
    </rPh>
    <rPh sb="3" eb="5">
      <t>ヘイカン</t>
    </rPh>
    <phoneticPr fontId="1"/>
  </si>
  <si>
    <r>
      <t>下記カレンダーにおいて、</t>
    </r>
    <r>
      <rPr>
        <b/>
        <u/>
        <sz val="16"/>
        <color rgb="FF000099"/>
        <rFont val="BIZ UDPゴシック"/>
        <family val="3"/>
        <charset val="128"/>
      </rPr>
      <t>21時閉館日</t>
    </r>
    <r>
      <rPr>
        <b/>
        <sz val="14"/>
        <color theme="1"/>
        <rFont val="BIZ UDPゴシック"/>
        <family val="3"/>
        <charset val="128"/>
      </rPr>
      <t>の夜間の施設利用は、直前まで利用申込が可能です（目的外使用の申込は８日前までです）</t>
    </r>
    <phoneticPr fontId="1"/>
  </si>
  <si>
    <t>様式１（第２条第２項第２号）</t>
  </si>
  <si>
    <t>夜間閉館申請書</t>
  </si>
  <si>
    <t>（申請先）</t>
  </si>
  <si>
    <t>年月</t>
  </si>
  <si>
    <t>・原則として、１月分まとめて提出してください。</t>
  </si>
  <si>
    <t>日</t>
    <phoneticPr fontId="1"/>
  </si>
  <si>
    <t>（曜日）</t>
    <phoneticPr fontId="1"/>
  </si>
  <si>
    <t>日</t>
    <rPh sb="0" eb="1">
      <t>ニチ</t>
    </rPh>
    <phoneticPr fontId="1"/>
  </si>
  <si>
    <t>戻入金額</t>
    <rPh sb="0" eb="4">
      <t>レイニュウキンガク</t>
    </rPh>
    <phoneticPr fontId="1"/>
  </si>
  <si>
    <t>円</t>
    <rPh sb="0" eb="1">
      <t>エン</t>
    </rPh>
    <phoneticPr fontId="1"/>
  </si>
  <si>
    <t>年度計</t>
    <rPh sb="0" eb="2">
      <t>ネンド</t>
    </rPh>
    <rPh sb="2" eb="3">
      <t>ケイ</t>
    </rPh>
    <phoneticPr fontId="1"/>
  </si>
  <si>
    <t>1　はじめに</t>
    <phoneticPr fontId="1"/>
  </si>
  <si>
    <t>２　毎月（利用申込のない夜間閉館を区に申請する際）</t>
    <rPh sb="2" eb="4">
      <t>マイツキ</t>
    </rPh>
    <rPh sb="5" eb="9">
      <t>リヨウモウシコミ</t>
    </rPh>
    <rPh sb="12" eb="14">
      <t>ヤカン</t>
    </rPh>
    <rPh sb="14" eb="16">
      <t>ヘイカン</t>
    </rPh>
    <rPh sb="17" eb="18">
      <t>ク</t>
    </rPh>
    <rPh sb="19" eb="21">
      <t>シンセイ</t>
    </rPh>
    <rPh sb="23" eb="24">
      <t>サイ</t>
    </rPh>
    <phoneticPr fontId="1"/>
  </si>
  <si>
    <t>入力方法（本ファイルの使い方）　～作業年度ごとにファイルを作成・保存してください～</t>
    <rPh sb="0" eb="2">
      <t>ニュウリョク</t>
    </rPh>
    <rPh sb="2" eb="4">
      <t>ホウホウ</t>
    </rPh>
    <rPh sb="5" eb="6">
      <t>ホン</t>
    </rPh>
    <rPh sb="11" eb="12">
      <t>ツカ</t>
    </rPh>
    <rPh sb="13" eb="14">
      <t>カタ</t>
    </rPh>
    <phoneticPr fontId="1"/>
  </si>
  <si>
    <t>４月</t>
    <rPh sb="1" eb="2">
      <t>ガツ</t>
    </rPh>
    <phoneticPr fontId="1"/>
  </si>
  <si>
    <t>３　毎月（区からの承認後の市民向け掲示（館内掲示及びホームページ掲載用（PDF））</t>
    <rPh sb="2" eb="4">
      <t>マイツキ</t>
    </rPh>
    <rPh sb="5" eb="6">
      <t>ク</t>
    </rPh>
    <rPh sb="9" eb="11">
      <t>ショウニン</t>
    </rPh>
    <rPh sb="11" eb="12">
      <t>ゴ</t>
    </rPh>
    <rPh sb="13" eb="16">
      <t>シミンム</t>
    </rPh>
    <rPh sb="17" eb="19">
      <t>ケイジ</t>
    </rPh>
    <rPh sb="20" eb="24">
      <t>カンナイケイジ</t>
    </rPh>
    <rPh sb="24" eb="25">
      <t>オヨ</t>
    </rPh>
    <rPh sb="32" eb="34">
      <t>ケイサイ</t>
    </rPh>
    <rPh sb="34" eb="35">
      <t>ヨウ</t>
    </rPh>
    <phoneticPr fontId="1"/>
  </si>
  <si>
    <t>休館日及び祝日の情報について</t>
    <rPh sb="0" eb="3">
      <t>キュウカンビ</t>
    </rPh>
    <rPh sb="3" eb="4">
      <t>オヨ</t>
    </rPh>
    <rPh sb="5" eb="7">
      <t>シュクジツ</t>
    </rPh>
    <rPh sb="8" eb="10">
      <t>ジョウホウ</t>
    </rPh>
    <phoneticPr fontId="1"/>
  </si>
  <si>
    <t>■祝日（振替休日を含む）（該当年度について加除修正）</t>
    <rPh sb="1" eb="3">
      <t>シュクジツ</t>
    </rPh>
    <rPh sb="4" eb="6">
      <t>フリカエ</t>
    </rPh>
    <rPh sb="6" eb="8">
      <t>キュウジツ</t>
    </rPh>
    <rPh sb="9" eb="10">
      <t>フク</t>
    </rPh>
    <rPh sb="13" eb="15">
      <t>ガイトウ</t>
    </rPh>
    <rPh sb="15" eb="17">
      <t>ネンド</t>
    </rPh>
    <phoneticPr fontId="1"/>
  </si>
  <si>
    <t>「休館日・祝日」シートに入力した上で、このシートに入力してください。</t>
    <rPh sb="1" eb="4">
      <t>キュウカンビ</t>
    </rPh>
    <rPh sb="5" eb="7">
      <t>シュクジツ</t>
    </rPh>
    <rPh sb="12" eb="14">
      <t>ニュウリョク</t>
    </rPh>
    <rPh sb="16" eb="17">
      <t>ウエ</t>
    </rPh>
    <rPh sb="25" eb="27">
      <t>ニュウリョク</t>
    </rPh>
    <phoneticPr fontId="1"/>
  </si>
  <si>
    <t>位置</t>
    <rPh sb="0" eb="2">
      <t>イチ</t>
    </rPh>
    <phoneticPr fontId="1"/>
  </si>
  <si>
    <t>順番</t>
    <rPh sb="0" eb="2">
      <t>ジュンバン</t>
    </rPh>
    <phoneticPr fontId="1"/>
  </si>
  <si>
    <t>計算部分</t>
    <rPh sb="0" eb="2">
      <t>ケイサン</t>
    </rPh>
    <rPh sb="2" eb="4">
      <t>ブブン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</si>
  <si>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</si>
  <si>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</si>
  <si>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</si>
  <si>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</si>
  <si>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</si>
  <si>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</si>
  <si>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</si>
  <si>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</si>
  <si>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</si>
  <si>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</si>
  <si>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r>
      <t>IFERROR(INDEX('入力表（利用申込のない夜間閉館）'!</t>
    </r>
    <r>
      <rPr>
        <b/>
        <sz val="11"/>
        <color rgb="FFFF0000"/>
        <rFont val="游ゴシック"/>
        <family val="3"/>
        <charset val="128"/>
        <scheme val="minor"/>
      </rPr>
      <t>B$6:B$36</t>
    </r>
    <r>
      <rPr>
        <b/>
        <sz val="11"/>
        <color theme="1"/>
        <rFont val="游ゴシック"/>
        <family val="2"/>
        <charset val="128"/>
        <scheme val="minor"/>
      </rPr>
      <t>,'様式１（区への申請用）'!J11,1),"")</t>
    </r>
    <phoneticPr fontId="1"/>
  </si>
  <si>
    <r>
      <t>MATCH("利用申込のない夜間閉館",'入力表（利用申込のない夜間閉館）'!</t>
    </r>
    <r>
      <rPr>
        <b/>
        <sz val="11"/>
        <color rgb="FFFF0000"/>
        <rFont val="游ゴシック"/>
        <family val="3"/>
        <charset val="128"/>
        <scheme val="minor"/>
      </rPr>
      <t>E6:E36</t>
    </r>
    <r>
      <rPr>
        <b/>
        <sz val="11"/>
        <color theme="1"/>
        <rFont val="游ゴシック"/>
        <family val="2"/>
        <charset val="128"/>
        <scheme val="minor"/>
      </rPr>
      <t>,0)</t>
    </r>
    <phoneticPr fontId="1"/>
  </si>
  <si>
    <r>
      <t>MATCH("利用申込のない夜間閉館",INDIRECT("'入力表（利用申込のない夜間閉館）'!</t>
    </r>
    <r>
      <rPr>
        <b/>
        <sz val="11"/>
        <color rgb="FFFF0000"/>
        <rFont val="游ゴシック"/>
        <family val="3"/>
        <charset val="128"/>
        <scheme val="minor"/>
      </rPr>
      <t>E"&amp;6</t>
    </r>
    <r>
      <rPr>
        <b/>
        <sz val="11"/>
        <color theme="1"/>
        <rFont val="游ゴシック"/>
        <family val="3"/>
        <charset val="128"/>
        <scheme val="minor"/>
      </rPr>
      <t>+J11&amp;":</t>
    </r>
    <r>
      <rPr>
        <b/>
        <sz val="11"/>
        <color rgb="FFFF0000"/>
        <rFont val="游ゴシック"/>
        <family val="3"/>
        <charset val="128"/>
        <scheme val="minor"/>
      </rPr>
      <t>E36</t>
    </r>
    <r>
      <rPr>
        <b/>
        <sz val="11"/>
        <color theme="1"/>
        <rFont val="游ゴシック"/>
        <family val="3"/>
        <charset val="128"/>
        <scheme val="minor"/>
      </rPr>
      <t>"),0)</t>
    </r>
    <phoneticPr fontId="1"/>
  </si>
  <si>
    <t>該当部分が参照範囲</t>
    <rPh sb="0" eb="4">
      <t>ガイトウブブン</t>
    </rPh>
    <rPh sb="5" eb="9">
      <t>サンショウハンイ</t>
    </rPh>
    <phoneticPr fontId="1"/>
  </si>
  <si>
    <t>参照範囲</t>
    <rPh sb="0" eb="2">
      <t>サンショウ</t>
    </rPh>
    <rPh sb="2" eb="4">
      <t>ハンイ</t>
    </rPh>
    <phoneticPr fontId="1"/>
  </si>
  <si>
    <t>「休館日・祝日」シートに、「毎月の施設点検による休館日」を入力します（赤枠部分に日付のみを入力してください）</t>
    <rPh sb="1" eb="4">
      <t>キュウカンビ</t>
    </rPh>
    <rPh sb="5" eb="7">
      <t>シュクジツ</t>
    </rPh>
    <rPh sb="14" eb="16">
      <t>マイツキ</t>
    </rPh>
    <rPh sb="17" eb="19">
      <t>シセツ</t>
    </rPh>
    <rPh sb="19" eb="21">
      <t>テンケン</t>
    </rPh>
    <rPh sb="24" eb="27">
      <t>キュウカンビ</t>
    </rPh>
    <rPh sb="29" eb="31">
      <t>ニュウリョク</t>
    </rPh>
    <rPh sb="36" eb="37">
      <t>ワク</t>
    </rPh>
    <phoneticPr fontId="1"/>
  </si>
  <si>
    <t>区長</t>
    <rPh sb="0" eb="2">
      <t>クチョウ</t>
    </rPh>
    <phoneticPr fontId="1"/>
  </si>
  <si>
    <t>地域ケアプラザ所長</t>
    <rPh sb="0" eb="2">
      <t>チイキ</t>
    </rPh>
    <rPh sb="7" eb="9">
      <t>ショチョウ</t>
    </rPh>
    <phoneticPr fontId="1"/>
  </si>
  <si>
    <t>３月</t>
    <rPh sb="1" eb="2">
      <t>ガツ</t>
    </rPh>
    <phoneticPr fontId="1"/>
  </si>
  <si>
    <t>「市民向け掲示カレンダー」シートに、コメントどおり入力ください。閉館時間・休館日が正しく自動反映されるはずです。</t>
    <rPh sb="1" eb="3">
      <t>シミン</t>
    </rPh>
    <rPh sb="3" eb="4">
      <t>ム</t>
    </rPh>
    <rPh sb="5" eb="7">
      <t>ケイジ</t>
    </rPh>
    <rPh sb="25" eb="27">
      <t>ニュウリョク</t>
    </rPh>
    <rPh sb="32" eb="36">
      <t>ヘイカンジカン</t>
    </rPh>
    <rPh sb="37" eb="40">
      <t>キュウカンビ</t>
    </rPh>
    <rPh sb="41" eb="42">
      <t>タダ</t>
    </rPh>
    <rPh sb="44" eb="48">
      <t>ジドウハンエイ</t>
    </rPh>
    <phoneticPr fontId="1"/>
  </si>
  <si>
    <t>　月曜日から土曜日の午後６時から午後９時（以下「夜間」という。）の施設利用の申込について、横浜市地域ケアプラザ施設使用及び目的外使用に関する要綱（以下「施設使用要綱」という。）第７条及び第８条に定める手続きが行われていない日のうち、次の日の夜間閉館を申請します。</t>
    <rPh sb="91" eb="92">
      <t>オヨ</t>
    </rPh>
    <rPh sb="93" eb="94">
      <t>ダイ</t>
    </rPh>
    <rPh sb="95" eb="96">
      <t>ジョウ</t>
    </rPh>
    <phoneticPr fontId="1"/>
  </si>
  <si>
    <r>
      <t>前月12日までに夜間利用申込のない日は、</t>
    </r>
    <r>
      <rPr>
        <b/>
        <u/>
        <sz val="16"/>
        <color rgb="FFFF0000"/>
        <rFont val="BIZ UDPゴシック"/>
        <family val="3"/>
        <charset val="128"/>
      </rPr>
      <t>18時閉館</t>
    </r>
    <r>
      <rPr>
        <b/>
        <sz val="14"/>
        <color theme="1"/>
        <rFont val="BIZ UDPゴシック"/>
        <family val="3"/>
        <charset val="128"/>
      </rPr>
      <t xml:space="preserve">
（夜間利用申込があれば、</t>
    </r>
    <r>
      <rPr>
        <b/>
        <u/>
        <sz val="16"/>
        <color rgb="FF000099"/>
        <rFont val="BIZ UDPゴシック"/>
        <family val="3"/>
        <charset val="128"/>
      </rPr>
      <t>21時閉館</t>
    </r>
    <r>
      <rPr>
        <b/>
        <sz val="14"/>
        <color theme="1"/>
        <rFont val="BIZ UDPゴシック"/>
        <family val="3"/>
        <charset val="128"/>
      </rPr>
      <t>）</t>
    </r>
    <rPh sb="4" eb="5">
      <t>ニチ</t>
    </rPh>
    <phoneticPr fontId="1"/>
  </si>
  <si>
    <r>
      <t>地域ケアプラザ　</t>
    </r>
    <r>
      <rPr>
        <b/>
        <u/>
        <sz val="18"/>
        <rFont val="BIZ UDPゴシック"/>
        <family val="3"/>
        <charset val="128"/>
      </rPr>
      <t>諸室利用時間</t>
    </r>
    <r>
      <rPr>
        <b/>
        <u/>
        <sz val="18"/>
        <color theme="1"/>
        <rFont val="BIZ UDPゴシック"/>
        <family val="3"/>
        <charset val="128"/>
      </rPr>
      <t>のお知らせ</t>
    </r>
    <rPh sb="8" eb="9">
      <t>ショ</t>
    </rPh>
    <rPh sb="9" eb="10">
      <t>シツ</t>
    </rPh>
    <rPh sb="10" eb="12">
      <t>リヨウ</t>
    </rPh>
    <rPh sb="12" eb="14">
      <t>ジカン</t>
    </rPh>
    <phoneticPr fontId="1"/>
  </si>
  <si>
    <t>相談時間は、次のとおりです。</t>
    <rPh sb="0" eb="2">
      <t>ソウダン</t>
    </rPh>
    <rPh sb="2" eb="4">
      <t>ジカン</t>
    </rPh>
    <rPh sb="6" eb="7">
      <t>ツギ</t>
    </rPh>
    <phoneticPr fontId="1"/>
  </si>
  <si>
    <t>　【月曜日から土曜日まで】　９時から18時まで</t>
    <rPh sb="2" eb="5">
      <t>ゲツヨウビ</t>
    </rPh>
    <rPh sb="7" eb="10">
      <t>ドヨウビ</t>
    </rPh>
    <rPh sb="15" eb="16">
      <t>ジ</t>
    </rPh>
    <rPh sb="20" eb="21">
      <t>ジ</t>
    </rPh>
    <phoneticPr fontId="1"/>
  </si>
  <si>
    <t>　【日曜日、祝日】　９時から17時まで</t>
    <rPh sb="2" eb="5">
      <t>ニチヨウビ</t>
    </rPh>
    <rPh sb="6" eb="8">
      <t>シュクジツ</t>
    </rPh>
    <rPh sb="11" eb="12">
      <t>ジ</t>
    </rPh>
    <rPh sb="16" eb="17">
      <t>ジ</t>
    </rPh>
    <phoneticPr fontId="1"/>
  </si>
  <si>
    <t>　※休館日を除く</t>
    <rPh sb="2" eb="5">
      <t>キュウカンビ</t>
    </rPh>
    <rPh sb="6" eb="7">
      <t>ノゾ</t>
    </rPh>
    <phoneticPr fontId="1"/>
  </si>
  <si>
    <t>　・相談時間以外の時間帯は、相談電話は相談専用コールセンターに転送し、対応します。</t>
    <rPh sb="2" eb="6">
      <t>ソウダンジカン</t>
    </rPh>
    <rPh sb="6" eb="8">
      <t>イガイ</t>
    </rPh>
    <rPh sb="9" eb="12">
      <t>ジカンタイ</t>
    </rPh>
    <rPh sb="14" eb="18">
      <t>ソウダンデンワ</t>
    </rPh>
    <rPh sb="19" eb="21">
      <t>ソウダン</t>
    </rPh>
    <rPh sb="21" eb="23">
      <t>センヨウ</t>
    </rPh>
    <rPh sb="31" eb="33">
      <t>テンソウ</t>
    </rPh>
    <rPh sb="35" eb="37">
      <t>タイオウ</t>
    </rPh>
    <phoneticPr fontId="1"/>
  </si>
  <si>
    <t>　・来所相談をされる際は、あらかじめお電話等で連絡のうえお越しください。</t>
    <rPh sb="2" eb="4">
      <t>ライショ</t>
    </rPh>
    <rPh sb="4" eb="6">
      <t>ソウダン</t>
    </rPh>
    <rPh sb="10" eb="11">
      <t>サイ</t>
    </rPh>
    <rPh sb="19" eb="21">
      <t>デンワ</t>
    </rPh>
    <rPh sb="21" eb="22">
      <t>トウ</t>
    </rPh>
    <rPh sb="23" eb="25">
      <t>レンラク</t>
    </rPh>
    <rPh sb="29" eb="30">
      <t>コ</t>
    </rPh>
    <phoneticPr fontId="1"/>
  </si>
  <si>
    <r>
      <t>開館は９時からで、</t>
    </r>
    <r>
      <rPr>
        <b/>
        <u val="double"/>
        <sz val="20"/>
        <rFont val="BIZ UDPゴシック"/>
        <family val="3"/>
        <charset val="128"/>
      </rPr>
      <t>閉館時間は下記のとおり</t>
    </r>
    <r>
      <rPr>
        <b/>
        <sz val="20"/>
        <rFont val="BIZ UDPゴシック"/>
        <family val="3"/>
        <charset val="128"/>
      </rPr>
      <t>です。</t>
    </r>
    <rPh sb="0" eb="2">
      <t>カイカン</t>
    </rPh>
    <rPh sb="4" eb="5">
      <t>ジ</t>
    </rPh>
    <rPh sb="9" eb="11">
      <t>ヘイカン</t>
    </rPh>
    <rPh sb="11" eb="13">
      <t>ジカン</t>
    </rPh>
    <rPh sb="14" eb="16">
      <t>カキ</t>
    </rPh>
    <phoneticPr fontId="1"/>
  </si>
  <si>
    <t>(1)「入力表」シートにおいて、「Ｅ列」で「利用申込のない夜間閉館」をプルダウン選択します。</t>
    <rPh sb="4" eb="7">
      <t>ニュウリョクヒョウ</t>
    </rPh>
    <rPh sb="18" eb="19">
      <t>レツ</t>
    </rPh>
    <rPh sb="22" eb="26">
      <t>リヨウモウシコミ</t>
    </rPh>
    <rPh sb="29" eb="31">
      <t>ヤカン</t>
    </rPh>
    <rPh sb="31" eb="33">
      <t>ヘイカン</t>
    </rPh>
    <rPh sb="40" eb="42">
      <t>センタク</t>
    </rPh>
    <phoneticPr fontId="1"/>
  </si>
  <si>
    <t>(2)上記の入力表から、様式１（区への申請用）シートに自動反映されます。該当月の分を区に申請ください。</t>
    <rPh sb="3" eb="5">
      <t>ジョウキ</t>
    </rPh>
    <phoneticPr fontId="1"/>
  </si>
  <si>
    <t>　年　月　日</t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</si>
  <si>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</si>
  <si>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令和８年</t>
    <phoneticPr fontId="1"/>
  </si>
  <si>
    <t>令和７年</t>
    <phoneticPr fontId="1"/>
  </si>
  <si>
    <t>洋光台</t>
    <rPh sb="0" eb="3">
      <t>ヨウコウダイ</t>
    </rPh>
    <phoneticPr fontId="1"/>
  </si>
  <si>
    <t>磯子</t>
    <rPh sb="0" eb="2">
      <t>イソゴ</t>
    </rPh>
    <phoneticPr fontId="1"/>
  </si>
  <si>
    <t>　2025年　3月　12日</t>
    <phoneticPr fontId="1"/>
  </si>
  <si>
    <t>　2025年　4月　11日</t>
    <phoneticPr fontId="1"/>
  </si>
  <si>
    <t>　2025年　5月　15日</t>
    <phoneticPr fontId="1"/>
  </si>
  <si>
    <t>　2025年　6月　11日</t>
    <phoneticPr fontId="1"/>
  </si>
  <si>
    <t>　2025年　7月　11日</t>
    <phoneticPr fontId="1"/>
  </si>
  <si>
    <t>　2025年　8月　12日</t>
    <phoneticPr fontId="1"/>
  </si>
  <si>
    <t>　2025年　11月　11日</t>
    <phoneticPr fontId="1"/>
  </si>
  <si>
    <t>　2025年　12月　12日</t>
    <phoneticPr fontId="1"/>
  </si>
  <si>
    <t>　2026年　1月　13日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</si>
</sst>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&quot;年&quot;"/>
    <numFmt numFmtId="177" formatCode="#&quot;月&quot;"/>
    <numFmt numFmtId="178" formatCode="yyyy&quot;年&quot;m&quot;月&quot;d&quot;日&quot;;@"/>
    <numFmt numFmtId="179" formatCode="d"/>
    <numFmt numFmtId="180" formatCode="m&quot;月&quot;d&quot;日&quot;;@"/>
    <numFmt numFmtId="181" formatCode="General&quot;月&quot;"/>
    <numFmt numFmtId="182" formatCode="0_ &quot;年&quot;"/>
    <numFmt numFmtId="183" formatCode="#,##0_ "/>
    <numFmt numFmtId="184" formatCode="\(General&quot;年&quot;\)"/>
    <numFmt numFmtId="185" formatCode="m&quot;月&quot;d&quot;日&quot;\(aaa\)"/>
  </numFmts>
  <fonts count="5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b/>
      <sz val="1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24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6"/>
      <name val="ＭＳ Ｐゴシック"/>
      <family val="2"/>
      <charset val="128"/>
    </font>
    <font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color indexed="81"/>
      <name val="BIZ UDPゴシック"/>
      <family val="3"/>
      <charset val="128"/>
    </font>
    <font>
      <b/>
      <sz val="11"/>
      <color rgb="FF0070C0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u/>
      <sz val="16"/>
      <color rgb="FFFF0000"/>
      <name val="BIZ UDPゴシック"/>
      <family val="3"/>
      <charset val="128"/>
    </font>
    <font>
      <b/>
      <u/>
      <sz val="16"/>
      <color theme="1"/>
      <name val="BIZ UDPゴシック"/>
      <family val="3"/>
      <charset val="128"/>
    </font>
    <font>
      <b/>
      <u/>
      <sz val="16"/>
      <color rgb="FF000099"/>
      <name val="BIZ UDPゴシック"/>
      <family val="3"/>
      <charset val="128"/>
    </font>
    <font>
      <b/>
      <sz val="10.5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1"/>
      <color indexed="8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P明朝 Medium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u/>
      <sz val="18"/>
      <name val="BIZ UDPゴシック"/>
      <family val="3"/>
      <charset val="128"/>
    </font>
    <font>
      <b/>
      <u/>
      <sz val="18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u val="double"/>
      <sz val="20"/>
      <name val="BIZ UDPゴシック"/>
      <family val="3"/>
      <charset val="128"/>
    </font>
    <font>
      <sz val="11"/>
      <color theme="0"/>
      <name val="游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gray125">
        <bgColor rgb="FFE5E5E5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hair">
        <color indexed="64"/>
      </bottom>
      <diagonal/>
    </border>
    <border>
      <left style="thick">
        <color rgb="FFFF0000"/>
      </left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thick">
        <color rgb="FFFF0000"/>
      </right>
      <top style="hair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2" fillId="0" borderId="0" xfId="0" applyFont="1" applyAlignment="1"/>
    <xf numFmtId="0" fontId="9" fillId="0" borderId="0" xfId="0" applyFont="1" applyAlignment="1"/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6" fillId="0" borderId="5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 applyAlignment="1"/>
    <xf numFmtId="0" fontId="10" fillId="0" borderId="0" xfId="0" applyFont="1" applyAlignment="1"/>
    <xf numFmtId="0" fontId="7" fillId="0" borderId="0" xfId="0" applyFont="1" applyAlignment="1"/>
    <xf numFmtId="0" fontId="18" fillId="0" borderId="0" xfId="0" applyFont="1" applyAlignment="1"/>
    <xf numFmtId="179" fontId="18" fillId="0" borderId="0" xfId="0" applyNumberFormat="1" applyFont="1" applyAlignment="1"/>
    <xf numFmtId="0" fontId="20" fillId="0" borderId="0" xfId="0" applyFont="1" applyAlignment="1"/>
    <xf numFmtId="0" fontId="21" fillId="0" borderId="0" xfId="0" applyFont="1" applyAlignment="1"/>
    <xf numFmtId="0" fontId="1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31" fontId="2" fillId="0" borderId="0" xfId="0" applyNumberFormat="1" applyFont="1" applyAlignment="1">
      <alignment horizontal="center" vertical="center"/>
    </xf>
    <xf numFmtId="3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31" fontId="24" fillId="0" borderId="0" xfId="0" applyNumberFormat="1" applyFont="1" applyAlignment="1" applyProtection="1">
      <alignment horizontal="center" vertical="center"/>
      <protection locked="0"/>
    </xf>
    <xf numFmtId="0" fontId="24" fillId="0" borderId="0" xfId="0" applyFont="1" applyProtection="1">
      <alignment vertical="center"/>
      <protection locked="0"/>
    </xf>
    <xf numFmtId="177" fontId="24" fillId="4" borderId="11" xfId="0" applyNumberFormat="1" applyFont="1" applyFill="1" applyBorder="1" applyAlignment="1">
      <alignment horizontal="center" vertical="center"/>
    </xf>
    <xf numFmtId="31" fontId="24" fillId="4" borderId="13" xfId="0" applyNumberFormat="1" applyFont="1" applyFill="1" applyBorder="1" applyAlignment="1">
      <alignment horizontal="center" vertical="center"/>
    </xf>
    <xf numFmtId="0" fontId="24" fillId="2" borderId="14" xfId="0" applyFont="1" applyFill="1" applyBorder="1" applyAlignment="1" applyProtection="1">
      <alignment horizontal="center" vertical="center"/>
      <protection locked="0"/>
    </xf>
    <xf numFmtId="0" fontId="24" fillId="2" borderId="15" xfId="0" applyFont="1" applyFill="1" applyBorder="1" applyAlignment="1" applyProtection="1">
      <alignment horizontal="center" vertical="center"/>
      <protection locked="0"/>
    </xf>
    <xf numFmtId="0" fontId="24" fillId="2" borderId="16" xfId="0" applyFont="1" applyFill="1" applyBorder="1" applyAlignment="1" applyProtection="1">
      <alignment horizontal="center" vertical="center"/>
      <protection locked="0"/>
    </xf>
    <xf numFmtId="31" fontId="24" fillId="4" borderId="11" xfId="0" applyNumberFormat="1" applyFont="1" applyFill="1" applyBorder="1" applyAlignment="1">
      <alignment horizontal="center" vertical="center"/>
    </xf>
    <xf numFmtId="0" fontId="24" fillId="5" borderId="17" xfId="0" applyFont="1" applyFill="1" applyBorder="1" applyAlignment="1">
      <alignment horizontal="center" vertical="center"/>
    </xf>
    <xf numFmtId="0" fontId="24" fillId="5" borderId="11" xfId="0" applyFont="1" applyFill="1" applyBorder="1" applyAlignment="1">
      <alignment horizontal="center" vertical="center"/>
    </xf>
    <xf numFmtId="177" fontId="24" fillId="4" borderId="18" xfId="0" applyNumberFormat="1" applyFont="1" applyFill="1" applyBorder="1" applyAlignment="1">
      <alignment horizontal="center" vertical="center"/>
    </xf>
    <xf numFmtId="31" fontId="24" fillId="4" borderId="18" xfId="0" applyNumberFormat="1" applyFont="1" applyFill="1" applyBorder="1" applyAlignment="1">
      <alignment horizontal="center" vertical="center"/>
    </xf>
    <xf numFmtId="0" fontId="24" fillId="5" borderId="18" xfId="0" applyFont="1" applyFill="1" applyBorder="1" applyAlignment="1">
      <alignment horizontal="center" vertical="center"/>
    </xf>
    <xf numFmtId="177" fontId="24" fillId="7" borderId="10" xfId="0" applyNumberFormat="1" applyFont="1" applyFill="1" applyBorder="1" applyAlignment="1">
      <alignment horizontal="center" vertical="center"/>
    </xf>
    <xf numFmtId="31" fontId="24" fillId="7" borderId="10" xfId="0" applyNumberFormat="1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177" fontId="24" fillId="7" borderId="11" xfId="0" applyNumberFormat="1" applyFont="1" applyFill="1" applyBorder="1" applyAlignment="1">
      <alignment horizontal="center" vertical="center"/>
    </xf>
    <xf numFmtId="31" fontId="24" fillId="7" borderId="11" xfId="0" applyNumberFormat="1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31" fontId="24" fillId="7" borderId="13" xfId="0" applyNumberFormat="1" applyFont="1" applyFill="1" applyBorder="1" applyAlignment="1">
      <alignment horizontal="center" vertical="center"/>
    </xf>
    <xf numFmtId="177" fontId="24" fillId="7" borderId="18" xfId="0" applyNumberFormat="1" applyFont="1" applyFill="1" applyBorder="1" applyAlignment="1">
      <alignment horizontal="center" vertical="center"/>
    </xf>
    <xf numFmtId="31" fontId="24" fillId="7" borderId="19" xfId="0" applyNumberFormat="1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176" fontId="26" fillId="3" borderId="1" xfId="0" applyNumberFormat="1" applyFont="1" applyFill="1" applyBorder="1" applyAlignment="1">
      <alignment horizontal="center" vertical="center"/>
    </xf>
    <xf numFmtId="31" fontId="26" fillId="3" borderId="1" xfId="0" applyNumberFormat="1" applyFont="1" applyFill="1" applyBorder="1" applyAlignment="1">
      <alignment horizontal="center" vertical="center" wrapText="1"/>
    </xf>
    <xf numFmtId="0" fontId="26" fillId="0" borderId="0" xfId="0" applyFont="1">
      <alignment vertical="center"/>
    </xf>
    <xf numFmtId="176" fontId="26" fillId="6" borderId="1" xfId="0" applyNumberFormat="1" applyFont="1" applyFill="1" applyBorder="1" applyAlignment="1">
      <alignment horizontal="center" vertical="center"/>
    </xf>
    <xf numFmtId="31" fontId="26" fillId="6" borderId="1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9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81" fontId="5" fillId="9" borderId="3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" fillId="0" borderId="30" xfId="0" applyFont="1" applyBorder="1" applyAlignment="1"/>
    <xf numFmtId="183" fontId="5" fillId="0" borderId="1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40" fillId="0" borderId="0" xfId="0" applyFont="1">
      <alignment vertical="center"/>
    </xf>
    <xf numFmtId="0" fontId="41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3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10" fillId="0" borderId="0" xfId="0" applyFont="1" applyAlignment="1" applyProtection="1">
      <protection locked="0"/>
    </xf>
    <xf numFmtId="0" fontId="14" fillId="0" borderId="0" xfId="0" applyFont="1" applyAlignment="1" applyProtection="1">
      <protection locked="0"/>
    </xf>
    <xf numFmtId="0" fontId="7" fillId="0" borderId="0" xfId="0" applyFont="1" applyProtection="1">
      <alignment vertical="center"/>
      <protection locked="0"/>
    </xf>
    <xf numFmtId="0" fontId="7" fillId="11" borderId="24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protection locked="0"/>
    </xf>
    <xf numFmtId="0" fontId="2" fillId="0" borderId="25" xfId="0" applyFont="1" applyBorder="1" applyAlignment="1"/>
    <xf numFmtId="0" fontId="2" fillId="0" borderId="28" xfId="0" applyFont="1" applyBorder="1" applyAlignment="1"/>
    <xf numFmtId="0" fontId="12" fillId="0" borderId="0" xfId="0" applyFont="1" applyAlignment="1">
      <alignment horizontal="center" vertical="center"/>
    </xf>
    <xf numFmtId="0" fontId="20" fillId="0" borderId="28" xfId="0" applyFont="1" applyBorder="1" applyAlignment="1"/>
    <xf numFmtId="0" fontId="17" fillId="0" borderId="28" xfId="0" applyFont="1" applyBorder="1" applyAlignment="1"/>
    <xf numFmtId="0" fontId="1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8" fillId="0" borderId="28" xfId="0" applyFont="1" applyBorder="1" applyAlignment="1"/>
    <xf numFmtId="179" fontId="8" fillId="8" borderId="7" xfId="0" applyNumberFormat="1" applyFont="1" applyFill="1" applyBorder="1" applyAlignment="1">
      <alignment horizontal="center" vertical="center" wrapText="1"/>
    </xf>
    <xf numFmtId="14" fontId="20" fillId="8" borderId="8" xfId="0" applyNumberFormat="1" applyFont="1" applyFill="1" applyBorder="1" applyAlignment="1">
      <alignment horizontal="center" vertical="center" wrapText="1"/>
    </xf>
    <xf numFmtId="14" fontId="39" fillId="8" borderId="9" xfId="0" applyNumberFormat="1" applyFont="1" applyFill="1" applyBorder="1" applyAlignment="1">
      <alignment horizontal="center" vertical="center" wrapText="1"/>
    </xf>
    <xf numFmtId="14" fontId="38" fillId="8" borderId="8" xfId="0" applyNumberFormat="1" applyFont="1" applyFill="1" applyBorder="1" applyAlignment="1">
      <alignment horizontal="center" vertical="center" wrapText="1"/>
    </xf>
    <xf numFmtId="0" fontId="52" fillId="0" borderId="0" xfId="0" applyFont="1" applyProtection="1">
      <alignment vertical="center"/>
      <protection locked="0"/>
    </xf>
    <xf numFmtId="0" fontId="52" fillId="0" borderId="0" xfId="0" applyFont="1">
      <alignment vertical="center"/>
    </xf>
    <xf numFmtId="0" fontId="15" fillId="0" borderId="0" xfId="0" applyFont="1">
      <alignment vertical="center"/>
    </xf>
    <xf numFmtId="0" fontId="51" fillId="0" borderId="0" xfId="0" applyFont="1" applyAlignment="1"/>
    <xf numFmtId="0" fontId="5" fillId="0" borderId="0" xfId="0" applyFont="1" applyProtection="1">
      <alignment vertical="center"/>
      <protection locked="0"/>
    </xf>
    <xf numFmtId="0" fontId="51" fillId="0" borderId="0" xfId="0" applyFont="1" applyProtection="1">
      <alignment vertical="center"/>
      <protection locked="0"/>
    </xf>
    <xf numFmtId="0" fontId="55" fillId="0" borderId="0" xfId="0" applyFont="1" applyAlignment="1"/>
    <xf numFmtId="0" fontId="2" fillId="0" borderId="27" xfId="0" applyFont="1" applyBorder="1" applyAlignment="1"/>
    <xf numFmtId="0" fontId="2" fillId="0" borderId="29" xfId="0" applyFont="1" applyBorder="1" applyAlignment="1"/>
    <xf numFmtId="0" fontId="20" fillId="0" borderId="29" xfId="0" applyFont="1" applyBorder="1" applyAlignment="1"/>
    <xf numFmtId="0" fontId="17" fillId="0" borderId="29" xfId="0" applyFont="1" applyBorder="1" applyAlignment="1"/>
    <xf numFmtId="0" fontId="18" fillId="0" borderId="29" xfId="0" applyFont="1" applyBorder="1" applyAlignment="1"/>
    <xf numFmtId="0" fontId="2" fillId="0" borderId="31" xfId="0" applyFont="1" applyBorder="1" applyAlignment="1"/>
    <xf numFmtId="0" fontId="2" fillId="0" borderId="32" xfId="0" applyFont="1" applyBorder="1" applyAlignment="1"/>
    <xf numFmtId="0" fontId="20" fillId="0" borderId="0" xfId="0" applyFont="1" applyAlignment="1" applyProtection="1">
      <protection locked="0"/>
    </xf>
    <xf numFmtId="0" fontId="51" fillId="0" borderId="0" xfId="0" applyFont="1" applyAlignment="1" applyProtection="1">
      <protection locked="0"/>
    </xf>
    <xf numFmtId="0" fontId="55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justify" vertical="center"/>
    </xf>
    <xf numFmtId="0" fontId="36" fillId="0" borderId="0" xfId="0" applyFont="1" applyAlignment="1">
      <alignment horizontal="justify" vertical="center"/>
    </xf>
    <xf numFmtId="0" fontId="46" fillId="0" borderId="0" xfId="0" applyFont="1">
      <alignment vertical="center"/>
    </xf>
    <xf numFmtId="0" fontId="35" fillId="0" borderId="0" xfId="0" applyFont="1" applyAlignment="1">
      <alignment horizontal="justify" vertical="center"/>
    </xf>
    <xf numFmtId="0" fontId="35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47" fillId="0" borderId="0" xfId="0" applyFont="1">
      <alignment vertical="center"/>
    </xf>
    <xf numFmtId="0" fontId="36" fillId="12" borderId="39" xfId="0" applyFont="1" applyFill="1" applyBorder="1" applyAlignment="1">
      <alignment horizontal="right" vertical="center" wrapText="1"/>
    </xf>
    <xf numFmtId="0" fontId="36" fillId="12" borderId="6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5" fillId="0" borderId="33" xfId="0" applyFont="1" applyBorder="1" applyAlignment="1">
      <alignment horizontal="right" vertical="center" wrapText="1"/>
    </xf>
    <xf numFmtId="0" fontId="35" fillId="0" borderId="0" xfId="0" applyFont="1" applyAlignment="1">
      <alignment horizontal="right" vertical="center" wrapText="1"/>
    </xf>
    <xf numFmtId="0" fontId="0" fillId="0" borderId="1" xfId="0" applyBorder="1">
      <alignment vertical="center"/>
    </xf>
    <xf numFmtId="0" fontId="24" fillId="0" borderId="1" xfId="0" applyFont="1" applyBorder="1">
      <alignment vertical="center"/>
    </xf>
    <xf numFmtId="14" fontId="0" fillId="0" borderId="0" xfId="0" applyNumberFormat="1">
      <alignment vertical="center"/>
    </xf>
    <xf numFmtId="184" fontId="35" fillId="0" borderId="33" xfId="0" applyNumberFormat="1" applyFont="1" applyBorder="1" applyAlignment="1">
      <alignment horizontal="right" vertical="center" wrapText="1"/>
    </xf>
    <xf numFmtId="0" fontId="35" fillId="0" borderId="34" xfId="0" applyFont="1" applyBorder="1" applyAlignment="1">
      <alignment horizontal="right" vertical="center" wrapText="1"/>
    </xf>
    <xf numFmtId="0" fontId="35" fillId="0" borderId="35" xfId="0" applyFont="1" applyBorder="1" applyAlignment="1">
      <alignment horizontal="right" vertical="center" wrapText="1"/>
    </xf>
    <xf numFmtId="0" fontId="35" fillId="0" borderId="36" xfId="0" applyFont="1" applyBorder="1" applyAlignment="1">
      <alignment horizontal="right" vertical="center" wrapText="1"/>
    </xf>
    <xf numFmtId="0" fontId="35" fillId="0" borderId="0" xfId="0" applyFont="1" applyAlignment="1">
      <alignment horizontal="left" vertical="center" indent="1"/>
    </xf>
    <xf numFmtId="0" fontId="35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5" fillId="0" borderId="0" xfId="0" applyFont="1">
      <alignment vertical="center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right" vertical="center"/>
      <protection locked="0"/>
    </xf>
    <xf numFmtId="31" fontId="26" fillId="3" borderId="1" xfId="0" applyNumberFormat="1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 wrapText="1"/>
    </xf>
    <xf numFmtId="178" fontId="24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178" fontId="29" fillId="2" borderId="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58" fillId="8" borderId="0" xfId="0" applyFont="1" applyFill="1">
      <alignment vertical="center"/>
    </xf>
    <xf numFmtId="0" fontId="27" fillId="8" borderId="0" xfId="0" applyFont="1" applyFill="1">
      <alignment vertical="center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0" fontId="5" fillId="9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31" fontId="35" fillId="0" borderId="0" xfId="0" applyNumberFormat="1" applyFont="1" applyAlignment="1" applyProtection="1">
      <alignment horizontal="right" vertical="center"/>
      <protection locked="0"/>
    </xf>
    <xf numFmtId="0" fontId="23" fillId="0" borderId="0" xfId="0" applyFont="1" applyAlignment="1">
      <alignment horizontal="left" wrapText="1"/>
    </xf>
    <xf numFmtId="31" fontId="2" fillId="0" borderId="20" xfId="0" applyNumberFormat="1" applyFont="1" applyBorder="1" applyAlignment="1">
      <alignment horizontal="left" wrapText="1"/>
    </xf>
    <xf numFmtId="181" fontId="5" fillId="9" borderId="2" xfId="0" applyNumberFormat="1" applyFont="1" applyFill="1" applyBorder="1" applyAlignment="1">
      <alignment horizontal="center" vertical="center"/>
    </xf>
    <xf numFmtId="181" fontId="5" fillId="9" borderId="3" xfId="0" applyNumberFormat="1" applyFont="1" applyFill="1" applyBorder="1" applyAlignment="1">
      <alignment horizontal="center" vertical="center"/>
    </xf>
    <xf numFmtId="185" fontId="35" fillId="0" borderId="2" xfId="0" applyNumberFormat="1" applyFont="1" applyBorder="1" applyAlignment="1">
      <alignment horizontal="center" vertical="center" wrapText="1"/>
    </xf>
    <xf numFmtId="185" fontId="35" fillId="0" borderId="3" xfId="0" applyNumberFormat="1" applyFont="1" applyBorder="1" applyAlignment="1">
      <alignment horizontal="center" vertical="center" wrapText="1"/>
    </xf>
    <xf numFmtId="185" fontId="35" fillId="0" borderId="40" xfId="0" applyNumberFormat="1" applyFont="1" applyBorder="1" applyAlignment="1">
      <alignment horizontal="center" vertical="center" wrapText="1"/>
    </xf>
    <xf numFmtId="185" fontId="35" fillId="0" borderId="41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 wrapText="1" indent="1"/>
    </xf>
    <xf numFmtId="0" fontId="36" fillId="12" borderId="37" xfId="0" applyFont="1" applyFill="1" applyBorder="1" applyAlignment="1">
      <alignment horizontal="center" vertical="center" wrapText="1"/>
    </xf>
    <xf numFmtId="0" fontId="36" fillId="12" borderId="38" xfId="0" applyFont="1" applyFill="1" applyBorder="1" applyAlignment="1">
      <alignment horizontal="center" vertical="center" wrapText="1"/>
    </xf>
    <xf numFmtId="0" fontId="52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11" borderId="21" xfId="0" applyFont="1" applyFill="1" applyBorder="1" applyAlignment="1" applyProtection="1">
      <alignment horizontal="center" vertical="center" wrapText="1"/>
      <protection locked="0"/>
    </xf>
    <xf numFmtId="0" fontId="7" fillId="11" borderId="22" xfId="0" applyFont="1" applyFill="1" applyBorder="1" applyAlignment="1" applyProtection="1">
      <alignment horizontal="center" vertical="center" wrapText="1"/>
      <protection locked="0"/>
    </xf>
    <xf numFmtId="0" fontId="7" fillId="11" borderId="23" xfId="0" applyFont="1" applyFill="1" applyBorder="1" applyAlignment="1" applyProtection="1">
      <alignment horizontal="center" vertical="center" wrapText="1"/>
      <protection locked="0"/>
    </xf>
    <xf numFmtId="0" fontId="7" fillId="11" borderId="21" xfId="0" applyFont="1" applyFill="1" applyBorder="1" applyAlignment="1" applyProtection="1">
      <alignment horizontal="left" vertical="center" wrapText="1"/>
      <protection locked="0"/>
    </xf>
    <xf numFmtId="0" fontId="7" fillId="11" borderId="22" xfId="0" applyFont="1" applyFill="1" applyBorder="1" applyAlignment="1" applyProtection="1">
      <alignment horizontal="left" vertical="center" wrapText="1"/>
      <protection locked="0"/>
    </xf>
    <xf numFmtId="0" fontId="7" fillId="11" borderId="23" xfId="0" applyFont="1" applyFill="1" applyBorder="1" applyAlignment="1" applyProtection="1">
      <alignment horizontal="left" vertical="center" wrapText="1"/>
      <protection locked="0"/>
    </xf>
    <xf numFmtId="0" fontId="32" fillId="11" borderId="24" xfId="0" applyFont="1" applyFill="1" applyBorder="1" applyAlignment="1" applyProtection="1">
      <alignment horizontal="left" vertical="center"/>
      <protection locked="0"/>
    </xf>
    <xf numFmtId="182" fontId="6" fillId="0" borderId="26" xfId="0" applyNumberFormat="1" applyFont="1" applyBorder="1" applyAlignment="1" applyProtection="1">
      <alignment horizontal="center" vertical="center"/>
      <protection locked="0"/>
    </xf>
    <xf numFmtId="182" fontId="6" fillId="0" borderId="0" xfId="0" applyNumberFormat="1" applyFont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5" fillId="0" borderId="2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6" fillId="0" borderId="0" xfId="0" applyFont="1" applyAlignment="1">
      <alignment horizontal="center" vertical="center"/>
    </xf>
  </cellXfs>
  <cellStyles count="1">
    <cellStyle name="標準" xfId="0" builtinId="0"/>
  </cellStyles>
  <dxfs count="26"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ont>
        <b/>
        <i val="0"/>
        <color rgb="FF000099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ont>
        <b/>
        <i val="0"/>
        <color rgb="FFFF0000"/>
      </font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E62B7"/>
      <color rgb="FF000099"/>
      <color rgb="FFCC6600"/>
      <color rgb="FF6600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</xdr:row>
      <xdr:rowOff>8465</xdr:rowOff>
    </xdr:from>
    <xdr:to>
      <xdr:col>11</xdr:col>
      <xdr:colOff>542925</xdr:colOff>
      <xdr:row>13</xdr:row>
      <xdr:rowOff>38100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09550" y="789515"/>
          <a:ext cx="7553325" cy="1915585"/>
        </a:xfrm>
        <a:prstGeom prst="rect">
          <a:avLst/>
        </a:prstGeom>
        <a:ln w="25400">
          <a:solidFill>
            <a:schemeClr val="tx1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219075</xdr:colOff>
      <xdr:row>17</xdr:row>
      <xdr:rowOff>47624</xdr:rowOff>
    </xdr:from>
    <xdr:to>
      <xdr:col>11</xdr:col>
      <xdr:colOff>542925</xdr:colOff>
      <xdr:row>30</xdr:row>
      <xdr:rowOff>19049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19075" y="3552824"/>
          <a:ext cx="7543800" cy="2695575"/>
        </a:xfrm>
        <a:prstGeom prst="rect">
          <a:avLst/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84667</xdr:colOff>
      <xdr:row>57</xdr:row>
      <xdr:rowOff>52918</xdr:rowOff>
    </xdr:from>
    <xdr:to>
      <xdr:col>11</xdr:col>
      <xdr:colOff>42333</xdr:colOff>
      <xdr:row>103</xdr:row>
      <xdr:rowOff>158751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44500" y="10064751"/>
          <a:ext cx="6836833" cy="8868833"/>
        </a:xfrm>
        <a:prstGeom prst="rect">
          <a:avLst/>
        </a:prstGeom>
        <a:solidFill>
          <a:schemeClr val="bg1"/>
        </a:solidFill>
        <a:ln w="254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219075</xdr:colOff>
      <xdr:row>33</xdr:row>
      <xdr:rowOff>47625</xdr:rowOff>
    </xdr:from>
    <xdr:to>
      <xdr:col>11</xdr:col>
      <xdr:colOff>533400</xdr:colOff>
      <xdr:row>48</xdr:row>
      <xdr:rowOff>171450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19075" y="7000875"/>
          <a:ext cx="7534275" cy="3267075"/>
        </a:xfrm>
        <a:prstGeom prst="rect">
          <a:avLst/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276226</xdr:colOff>
      <xdr:row>4</xdr:row>
      <xdr:rowOff>76200</xdr:rowOff>
    </xdr:from>
    <xdr:to>
      <xdr:col>11</xdr:col>
      <xdr:colOff>485776</xdr:colOff>
      <xdr:row>12</xdr:row>
      <xdr:rowOff>142721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952500"/>
          <a:ext cx="7429500" cy="1742921"/>
        </a:xfrm>
        <a:prstGeom prst="rect">
          <a:avLst/>
        </a:prstGeom>
      </xdr:spPr>
    </xdr:pic>
    <xdr:clientData/>
  </xdr:twoCellAnchor>
  <xdr:twoCellAnchor>
    <xdr:from>
      <xdr:col>5</xdr:col>
      <xdr:colOff>144992</xdr:colOff>
      <xdr:row>9</xdr:row>
      <xdr:rowOff>166160</xdr:rowOff>
    </xdr:from>
    <xdr:to>
      <xdr:col>7</xdr:col>
      <xdr:colOff>361949</xdr:colOff>
      <xdr:row>12</xdr:row>
      <xdr:rowOff>47626</xdr:rowOff>
    </xdr:to>
    <xdr:sp macro="" textlink="">
      <xdr:nvSpPr>
        <xdr:cNvPr id="19" name="円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250142" y="2090210"/>
          <a:ext cx="1588557" cy="510116"/>
        </a:xfrm>
        <a:prstGeom prst="wedgeEllipseCallout">
          <a:avLst>
            <a:gd name="adj1" fmla="val -65891"/>
            <a:gd name="adj2" fmla="val -20834"/>
          </a:avLst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ここに入力！</a:t>
          </a:r>
          <a:endParaRPr kumimoji="1" lang="en-US" altLang="ja-JP" sz="11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1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0</xdr:col>
      <xdr:colOff>266700</xdr:colOff>
      <xdr:row>17</xdr:row>
      <xdr:rowOff>76200</xdr:rowOff>
    </xdr:from>
    <xdr:to>
      <xdr:col>11</xdr:col>
      <xdr:colOff>317308</xdr:colOff>
      <xdr:row>29</xdr:row>
      <xdr:rowOff>194721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676650"/>
          <a:ext cx="7270558" cy="2633121"/>
        </a:xfrm>
        <a:prstGeom prst="rect">
          <a:avLst/>
        </a:prstGeom>
      </xdr:spPr>
    </xdr:pic>
    <xdr:clientData/>
  </xdr:twoCellAnchor>
  <xdr:twoCellAnchor>
    <xdr:from>
      <xdr:col>7</xdr:col>
      <xdr:colOff>382058</xdr:colOff>
      <xdr:row>24</xdr:row>
      <xdr:rowOff>49742</xdr:rowOff>
    </xdr:from>
    <xdr:to>
      <xdr:col>10</xdr:col>
      <xdr:colOff>182033</xdr:colOff>
      <xdr:row>26</xdr:row>
      <xdr:rowOff>180975</xdr:rowOff>
    </xdr:to>
    <xdr:sp macro="" textlink="">
      <xdr:nvSpPr>
        <xdr:cNvPr id="23" name="円形吹き出し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858808" y="5117042"/>
          <a:ext cx="1857375" cy="550333"/>
        </a:xfrm>
        <a:prstGeom prst="wedgeEllipseCallout">
          <a:avLst>
            <a:gd name="adj1" fmla="val -90747"/>
            <a:gd name="adj2" fmla="val -107655"/>
          </a:avLst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プルダウン選択！</a:t>
          </a:r>
        </a:p>
      </xdr:txBody>
    </xdr:sp>
    <xdr:clientData/>
  </xdr:twoCellAnchor>
  <xdr:twoCellAnchor editAs="oneCell">
    <xdr:from>
      <xdr:col>0</xdr:col>
      <xdr:colOff>295276</xdr:colOff>
      <xdr:row>33</xdr:row>
      <xdr:rowOff>104775</xdr:rowOff>
    </xdr:from>
    <xdr:to>
      <xdr:col>11</xdr:col>
      <xdr:colOff>376576</xdr:colOff>
      <xdr:row>47</xdr:row>
      <xdr:rowOff>190500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7058025"/>
          <a:ext cx="7301250" cy="3019425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57</xdr:row>
      <xdr:rowOff>114300</xdr:rowOff>
    </xdr:from>
    <xdr:to>
      <xdr:col>10</xdr:col>
      <xdr:colOff>457200</xdr:colOff>
      <xdr:row>103</xdr:row>
      <xdr:rowOff>60757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2115800"/>
          <a:ext cx="6324600" cy="8709457"/>
        </a:xfrm>
        <a:prstGeom prst="rect">
          <a:avLst/>
        </a:prstGeom>
      </xdr:spPr>
    </xdr:pic>
    <xdr:clientData/>
  </xdr:twoCellAnchor>
  <xdr:twoCellAnchor>
    <xdr:from>
      <xdr:col>12</xdr:col>
      <xdr:colOff>76200</xdr:colOff>
      <xdr:row>0</xdr:row>
      <xdr:rowOff>76200</xdr:rowOff>
    </xdr:from>
    <xdr:to>
      <xdr:col>16</xdr:col>
      <xdr:colOff>438150</xdr:colOff>
      <xdr:row>8</xdr:row>
      <xdr:rowOff>123826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81950" y="76200"/>
          <a:ext cx="3105150" cy="1762126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＜本ファイル（令和７年度版）＞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令和６年度版のファイルと使い方は同様です。</a:t>
          </a:r>
          <a:endParaRPr kumimoji="1" lang="en-US" altLang="ja-JP" sz="1100" b="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変更しているのは、</a:t>
          </a:r>
          <a:endParaRPr kumimoji="1" lang="en-US" altLang="ja-JP" sz="1100" b="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・令和７年度への時点修正</a:t>
          </a:r>
          <a:endParaRPr kumimoji="1" lang="en-US" altLang="ja-JP" sz="1100" b="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・入力表の備考欄に、日祝の場合「夜間閉館ではなく</a:t>
          </a:r>
          <a:r>
            <a:rPr kumimoji="1" lang="en-US" altLang="ja-JP" sz="1100" b="0">
              <a:solidFill>
                <a:sysClr val="windowText" lastClr="000000"/>
              </a:solidFill>
              <a:latin typeface="+mn-ea"/>
              <a:ea typeface="+mn-ea"/>
            </a:rPr>
            <a:t>17</a:t>
          </a:r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時閉館」を自動表示</a:t>
          </a:r>
          <a:endParaRPr kumimoji="1" lang="en-US" altLang="ja-JP" sz="1100" b="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のみです。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497416</xdr:colOff>
      <xdr:row>0</xdr:row>
      <xdr:rowOff>52109</xdr:rowOff>
    </xdr:from>
    <xdr:to>
      <xdr:col>5</xdr:col>
      <xdr:colOff>1830917</xdr:colOff>
      <xdr:row>3</xdr:row>
      <xdr:rowOff>44825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34833" y="52109"/>
          <a:ext cx="4370917" cy="913466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様式１が区に承認された後に、「変更申請書」を区に提出・承認の手続きがあった場合は、本シートもその内容にしてください（以下のため）</a:t>
          </a:r>
          <a:endParaRPr kumimoji="1" lang="en-US" altLang="ja-JP" sz="11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➡市民向け掲示カレンダーに反映</a:t>
          </a:r>
          <a:endParaRPr kumimoji="1" lang="en-US" altLang="ja-JP" sz="11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➡戻入金額を正しく積算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123826</xdr:colOff>
      <xdr:row>0</xdr:row>
      <xdr:rowOff>66675</xdr:rowOff>
    </xdr:from>
    <xdr:to>
      <xdr:col>10</xdr:col>
      <xdr:colOff>428626</xdr:colOff>
      <xdr:row>3</xdr:row>
      <xdr:rowOff>66675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267451" y="66675"/>
          <a:ext cx="3048000" cy="609600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１枚目（４月分）の「●●」「〇〇」に入力すれば、２～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12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枚目（５～３月分）にも反映されます。</a:t>
          </a:r>
        </a:p>
      </xdr:txBody>
    </xdr:sp>
    <xdr:clientData/>
  </xdr:twoCellAnchor>
  <xdr:twoCellAnchor>
    <xdr:from>
      <xdr:col>10</xdr:col>
      <xdr:colOff>571500</xdr:colOff>
      <xdr:row>0</xdr:row>
      <xdr:rowOff>76200</xdr:rowOff>
    </xdr:from>
    <xdr:to>
      <xdr:col>16</xdr:col>
      <xdr:colOff>200025</xdr:colOff>
      <xdr:row>6</xdr:row>
      <xdr:rowOff>114300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458325" y="76200"/>
          <a:ext cx="3838575" cy="1362075"/>
        </a:xfrm>
        <a:prstGeom prst="borderCallout1">
          <a:avLst>
            <a:gd name="adj1" fmla="val 56155"/>
            <a:gd name="adj2" fmla="val 941"/>
            <a:gd name="adj3" fmla="val 181725"/>
            <a:gd name="adj4" fmla="val -85295"/>
          </a:avLst>
        </a:prstGeom>
        <a:ln w="1905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＜健康福祉局内の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注意事項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＞</a:t>
          </a:r>
          <a:endParaRPr lang="ja-JP" altLang="ja-JP" b="0">
            <a:effectLst/>
            <a:latin typeface="+mn-ea"/>
            <a:ea typeface="+mn-ea"/>
          </a:endParaRPr>
        </a:p>
        <a:p>
          <a:r>
            <a:rPr kumimoji="1" lang="ja-JP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年度ごとにファイルを更新する際、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「年月」の欄は、</a:t>
          </a:r>
          <a:endParaRPr kumimoji="1" lang="en-US" altLang="ja-JP" sz="11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11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行目、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12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行目</a:t>
          </a:r>
          <a:endParaRPr kumimoji="1" lang="en-US" altLang="ja-JP" sz="11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380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行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目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381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行目</a:t>
          </a:r>
          <a:endParaRPr kumimoji="1" lang="en-US" altLang="ja-JP" sz="11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修正すること</a:t>
          </a:r>
          <a:endParaRPr lang="ja-JP" altLang="ja-JP" b="0">
            <a:effectLst/>
            <a:latin typeface="+mn-ea"/>
            <a:ea typeface="+mn-ea"/>
          </a:endParaRPr>
        </a:p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325531</xdr:colOff>
      <xdr:row>4</xdr:row>
      <xdr:rowOff>255493</xdr:rowOff>
    </xdr:from>
    <xdr:to>
      <xdr:col>4</xdr:col>
      <xdr:colOff>601756</xdr:colOff>
      <xdr:row>5</xdr:row>
      <xdr:rowOff>123264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306296" y="1420905"/>
          <a:ext cx="276225" cy="215153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112682</xdr:colOff>
      <xdr:row>0</xdr:row>
      <xdr:rowOff>131359</xdr:rowOff>
    </xdr:from>
    <xdr:to>
      <xdr:col>13</xdr:col>
      <xdr:colOff>645583</xdr:colOff>
      <xdr:row>3</xdr:row>
      <xdr:rowOff>285750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013015" y="131359"/>
          <a:ext cx="3432735" cy="884641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・「〇〇」は隣のシートから反映されます。</a:t>
          </a:r>
          <a:endParaRPr kumimoji="1" lang="en-US" altLang="ja-JP" sz="12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・カレンダーの上下の記載部分は、より分かりやすくするため変更いただいても構いません。</a:t>
          </a:r>
          <a:endParaRPr kumimoji="1" lang="en-US" altLang="ja-JP" sz="12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2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ctr"/>
      <a:lstStyle>
        <a:defPPr algn="ctr">
          <a:defRPr kumimoji="1" sz="1100" b="1">
            <a:solidFill>
              <a:sysClr val="windowText" lastClr="000000"/>
            </a:solidFill>
          </a:defRPr>
        </a:defPPr>
      </a:lstStyle>
      <a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view="pageBreakPreview" topLeftCell="A58" zoomScaleNormal="100" zoomScaleSheetLayoutView="100" workbookViewId="0"/>
  </sheetViews>
  <sheetFormatPr defaultRowHeight="15" customHeight="1"/>
  <cols>
    <col min="1" max="1" width="4.75" style="8" customWidth="1"/>
    <col min="2" max="16384" width="9" style="4"/>
  </cols>
  <sheetData>
    <row r="1" spans="1:4" ht="21.75" customHeight="1">
      <c r="A1" s="69" t="s">
        <v>57</v>
      </c>
    </row>
    <row r="2" spans="1:4" ht="14.25" customHeight="1">
      <c r="A2" s="19"/>
    </row>
    <row r="3" spans="1:4" s="71" customFormat="1" ht="16.5" customHeight="1">
      <c r="A3" s="70" t="s">
        <v>55</v>
      </c>
    </row>
    <row r="4" spans="1:4" s="18" customFormat="1" ht="16.5" customHeight="1">
      <c r="A4" s="20"/>
      <c r="B4" s="68" t="s">
        <v>81</v>
      </c>
    </row>
    <row r="5" spans="1:4" ht="16.5" customHeight="1">
      <c r="B5" s="19"/>
      <c r="C5" s="19"/>
      <c r="D5" s="19"/>
    </row>
    <row r="6" spans="1:4" ht="16.5" customHeight="1">
      <c r="B6" s="19"/>
      <c r="C6" s="19"/>
      <c r="D6" s="19"/>
    </row>
    <row r="7" spans="1:4" ht="16.5" customHeight="1">
      <c r="B7" s="19"/>
      <c r="C7" s="19"/>
      <c r="D7" s="19"/>
    </row>
    <row r="8" spans="1:4" ht="16.5" customHeight="1"/>
    <row r="9" spans="1:4" ht="16.5" customHeight="1"/>
    <row r="10" spans="1:4" ht="16.5" customHeight="1"/>
    <row r="11" spans="1:4" ht="16.5" customHeight="1"/>
    <row r="12" spans="1:4" ht="16.5" customHeight="1"/>
    <row r="13" spans="1:4" ht="16.5" customHeight="1"/>
    <row r="14" spans="1:4" ht="16.5" customHeight="1"/>
    <row r="15" spans="1:4" ht="16.5" customHeight="1"/>
    <row r="16" spans="1:4" s="71" customFormat="1" ht="16.5" customHeight="1">
      <c r="A16" s="70" t="s">
        <v>56</v>
      </c>
    </row>
    <row r="17" spans="1:2" s="18" customFormat="1" ht="16.5" customHeight="1">
      <c r="A17" s="20"/>
      <c r="B17" s="19" t="s">
        <v>96</v>
      </c>
    </row>
    <row r="18" spans="1:2" ht="16.5" customHeight="1"/>
    <row r="19" spans="1:2" ht="16.5" customHeight="1"/>
    <row r="20" spans="1:2" ht="16.5" customHeight="1"/>
    <row r="21" spans="1:2" ht="16.5" customHeight="1"/>
    <row r="22" spans="1:2" ht="16.5" customHeight="1"/>
    <row r="23" spans="1:2" ht="16.5" customHeight="1"/>
    <row r="24" spans="1:2" ht="16.5" customHeight="1"/>
    <row r="25" spans="1:2" ht="16.5" customHeight="1"/>
    <row r="26" spans="1:2" ht="16.5" customHeight="1"/>
    <row r="27" spans="1:2" ht="16.5" customHeight="1"/>
    <row r="28" spans="1:2" ht="16.5" customHeight="1"/>
    <row r="29" spans="1:2" ht="16.5" customHeight="1"/>
    <row r="30" spans="1:2" ht="16.5" customHeight="1"/>
    <row r="31" spans="1:2" ht="16.5" customHeight="1"/>
    <row r="32" spans="1:2" ht="16.5" customHeight="1"/>
    <row r="33" spans="1:2" ht="16.5" customHeight="1">
      <c r="A33" s="57"/>
      <c r="B33" s="68" t="s">
        <v>97</v>
      </c>
    </row>
    <row r="34" spans="1:2" ht="16.5" customHeight="1"/>
    <row r="35" spans="1:2" ht="16.5" customHeight="1"/>
    <row r="36" spans="1:2" ht="16.5" customHeight="1"/>
    <row r="37" spans="1:2" ht="16.5" customHeight="1"/>
    <row r="38" spans="1:2" ht="16.5" customHeight="1"/>
    <row r="39" spans="1:2" ht="16.5" customHeight="1"/>
    <row r="40" spans="1:2" ht="16.5" customHeight="1"/>
    <row r="41" spans="1:2" ht="16.5" customHeight="1"/>
    <row r="42" spans="1:2" ht="16.5" customHeight="1"/>
    <row r="43" spans="1:2" ht="16.5" customHeight="1"/>
    <row r="44" spans="1:2" ht="16.5" customHeight="1"/>
    <row r="45" spans="1:2" ht="16.5" customHeight="1"/>
    <row r="46" spans="1:2" ht="16.5" customHeight="1"/>
    <row r="47" spans="1:2" ht="16.5" customHeight="1"/>
    <row r="48" spans="1:2" ht="16.5" customHeight="1"/>
    <row r="49" spans="1:2" ht="16.5" customHeight="1"/>
    <row r="50" spans="1:2" ht="16.5" customHeight="1"/>
    <row r="51" spans="1:2" ht="16.5" customHeight="1"/>
    <row r="52" spans="1:2" ht="16.5" customHeight="1"/>
    <row r="53" spans="1:2" ht="16.5" customHeight="1"/>
    <row r="54" spans="1:2" ht="16.5" customHeight="1"/>
    <row r="55" spans="1:2" ht="16.5" customHeight="1"/>
    <row r="56" spans="1:2" s="71" customFormat="1" ht="19.5" customHeight="1">
      <c r="A56" s="70" t="s">
        <v>59</v>
      </c>
    </row>
    <row r="57" spans="1:2" ht="15" customHeight="1">
      <c r="A57" s="57"/>
      <c r="B57" s="68" t="s">
        <v>85</v>
      </c>
    </row>
    <row r="59" spans="1:2" ht="15" customHeight="1">
      <c r="A59" s="20"/>
      <c r="B59" s="18"/>
    </row>
    <row r="60" spans="1:2" ht="15" customHeight="1">
      <c r="A60" s="20"/>
      <c r="B60" s="18"/>
    </row>
    <row r="61" spans="1:2" ht="15" customHeight="1">
      <c r="A61" s="20"/>
      <c r="B61" s="18"/>
    </row>
    <row r="63" spans="1:2" ht="15" customHeight="1">
      <c r="B63" s="18"/>
    </row>
    <row r="64" spans="1:2" ht="15" customHeight="1">
      <c r="B64" s="18"/>
    </row>
    <row r="66" spans="2:2" ht="15" customHeight="1">
      <c r="B66" s="18"/>
    </row>
    <row r="67" spans="2:2" ht="15" customHeight="1">
      <c r="B67" s="18"/>
    </row>
    <row r="69" spans="2:2" ht="15" customHeight="1">
      <c r="B69" s="18"/>
    </row>
    <row r="70" spans="2:2" ht="15" customHeight="1">
      <c r="B70" s="18"/>
    </row>
    <row r="72" spans="2:2" ht="15" customHeight="1">
      <c r="B72" s="18"/>
    </row>
  </sheetData>
  <sheetProtection algorithmName="SHA-512" hashValue="0HuXL9LDRPPQfVWXziKqQvu1gfVd4JY3PH/HAp8nwo2n9K71rX8SoWge9Xb5BcQKwJFYraXipaQ7S4PjJd0upg==" saltValue="o/3dxRBzQugrmiAB81x6VQ==" spinCount="100000" sheet="1" scenarios="1"/>
  <phoneticPr fontId="1"/>
  <pageMargins left="0.31496062992125984" right="0.11811023622047245" top="0.55118110236220474" bottom="0.55118110236220474" header="0.31496062992125984" footer="0.31496062992125984"/>
  <pageSetup paperSize="9" scale="85" fitToHeight="0" orientation="portrait" horizontalDpi="300" verticalDpi="300" r:id="rId1"/>
  <rowBreaks count="1" manualBreakCount="1">
    <brk id="55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view="pageBreakPreview" zoomScaleNormal="100" zoomScaleSheetLayoutView="100" workbookViewId="0">
      <selection activeCell="D21" sqref="D21"/>
    </sheetView>
  </sheetViews>
  <sheetFormatPr defaultRowHeight="33.75" customHeight="1"/>
  <cols>
    <col min="1" max="1" width="10" style="26" customWidth="1"/>
    <col min="2" max="2" width="23.5" style="25" customWidth="1"/>
    <col min="3" max="3" width="7.5" style="26" customWidth="1"/>
    <col min="4" max="4" width="14.25" style="27" customWidth="1"/>
    <col min="5" max="5" width="23" style="28" customWidth="1"/>
    <col min="6" max="6" width="13.875" style="29" bestFit="1" customWidth="1"/>
    <col min="7" max="7" width="22.875" style="27" customWidth="1"/>
    <col min="8" max="16384" width="9" style="27"/>
  </cols>
  <sheetData>
    <row r="1" spans="1:7" s="4" customFormat="1" ht="30.75" customHeight="1">
      <c r="A1" s="73" t="s">
        <v>60</v>
      </c>
      <c r="B1" s="24"/>
      <c r="C1" s="8"/>
      <c r="E1" s="24"/>
    </row>
    <row r="2" spans="1:7" s="4" customFormat="1" ht="19.5" customHeight="1">
      <c r="A2" s="23"/>
      <c r="B2" s="24"/>
      <c r="C2" s="8"/>
      <c r="E2" s="24"/>
    </row>
    <row r="3" spans="1:7" s="4" customFormat="1" ht="14.25" customHeight="1">
      <c r="A3" s="149" t="s">
        <v>37</v>
      </c>
      <c r="B3" s="149"/>
      <c r="C3" s="149"/>
      <c r="E3" s="150" t="s">
        <v>61</v>
      </c>
      <c r="F3" s="150"/>
      <c r="G3" s="150"/>
    </row>
    <row r="4" spans="1:7" s="53" customFormat="1" ht="36.75" thickBot="1">
      <c r="A4" s="51">
        <f>'入力表（利用申込のない夜間閉館）'!B1</f>
        <v>2025</v>
      </c>
      <c r="B4" s="52" t="s">
        <v>34</v>
      </c>
      <c r="C4" s="50" t="s">
        <v>10</v>
      </c>
      <c r="D4" s="143"/>
      <c r="E4" s="136"/>
      <c r="F4" s="52" t="s">
        <v>29</v>
      </c>
      <c r="G4" s="137" t="s">
        <v>36</v>
      </c>
    </row>
    <row r="5" spans="1:7" ht="19.5" customHeight="1" thickTop="1">
      <c r="A5" s="30">
        <v>4</v>
      </c>
      <c r="B5" s="31">
        <f t="shared" ref="B5" si="0">IF(C5=0,0,DATE($A$4,A5,C5))</f>
        <v>45768</v>
      </c>
      <c r="C5" s="32">
        <v>21</v>
      </c>
      <c r="D5" s="142"/>
      <c r="E5" s="138">
        <v>45776</v>
      </c>
      <c r="F5" s="138" t="str">
        <f>TEXT(E5,"aaa")</f>
        <v>火</v>
      </c>
      <c r="G5" s="139" t="s">
        <v>11</v>
      </c>
    </row>
    <row r="6" spans="1:7" ht="19.5" customHeight="1">
      <c r="A6" s="30">
        <v>5</v>
      </c>
      <c r="B6" s="31">
        <f>IF(C6=0,0,DATE($A$4,A6,C6))</f>
        <v>45796</v>
      </c>
      <c r="C6" s="33">
        <v>19</v>
      </c>
      <c r="D6" s="142"/>
      <c r="E6" s="138">
        <v>45780</v>
      </c>
      <c r="F6" s="138" t="str">
        <f t="shared" ref="F6:F9" si="1">TEXT(E6,"aaa")</f>
        <v>土</v>
      </c>
      <c r="G6" s="139" t="s">
        <v>12</v>
      </c>
    </row>
    <row r="7" spans="1:7" ht="19.5" customHeight="1">
      <c r="A7" s="30">
        <v>6</v>
      </c>
      <c r="B7" s="31">
        <f t="shared" ref="B7:B13" si="2">IF(C7=0,0,DATE($A$4,A7,C7))</f>
        <v>45824</v>
      </c>
      <c r="C7" s="33">
        <v>16</v>
      </c>
      <c r="D7" s="142"/>
      <c r="E7" s="138">
        <v>45781</v>
      </c>
      <c r="F7" s="138" t="str">
        <f t="shared" si="1"/>
        <v>日</v>
      </c>
      <c r="G7" s="139" t="s">
        <v>13</v>
      </c>
    </row>
    <row r="8" spans="1:7" ht="19.5" customHeight="1">
      <c r="A8" s="30">
        <v>7</v>
      </c>
      <c r="B8" s="31">
        <f t="shared" si="2"/>
        <v>45859</v>
      </c>
      <c r="C8" s="33">
        <v>21</v>
      </c>
      <c r="D8" s="142"/>
      <c r="E8" s="138">
        <v>45782</v>
      </c>
      <c r="F8" s="138" t="str">
        <f t="shared" si="1"/>
        <v>月</v>
      </c>
      <c r="G8" s="139" t="s">
        <v>14</v>
      </c>
    </row>
    <row r="9" spans="1:7" ht="19.5" customHeight="1">
      <c r="A9" s="30">
        <v>8</v>
      </c>
      <c r="B9" s="31">
        <f t="shared" si="2"/>
        <v>45887</v>
      </c>
      <c r="C9" s="33">
        <v>18</v>
      </c>
      <c r="D9" s="142"/>
      <c r="E9" s="140">
        <v>45783</v>
      </c>
      <c r="F9" s="140" t="str">
        <f t="shared" si="1"/>
        <v>火</v>
      </c>
      <c r="G9" s="141" t="s">
        <v>32</v>
      </c>
    </row>
    <row r="10" spans="1:7" ht="19.5" customHeight="1">
      <c r="A10" s="30">
        <v>9</v>
      </c>
      <c r="B10" s="31">
        <f t="shared" si="2"/>
        <v>45915</v>
      </c>
      <c r="C10" s="33">
        <v>15</v>
      </c>
      <c r="D10" s="142"/>
      <c r="E10" s="140">
        <v>45859</v>
      </c>
      <c r="F10" s="140" t="str">
        <f t="shared" ref="F10:F12" si="3">TEXT(E10,"aaa")</f>
        <v>月</v>
      </c>
      <c r="G10" s="141" t="s">
        <v>15</v>
      </c>
    </row>
    <row r="11" spans="1:7" ht="19.5" customHeight="1">
      <c r="A11" s="30">
        <v>10</v>
      </c>
      <c r="B11" s="31">
        <f t="shared" si="2"/>
        <v>45950</v>
      </c>
      <c r="C11" s="33">
        <v>20</v>
      </c>
      <c r="D11" s="142"/>
      <c r="E11" s="140">
        <v>45880</v>
      </c>
      <c r="F11" s="140" t="str">
        <f t="shared" si="3"/>
        <v>月</v>
      </c>
      <c r="G11" s="141" t="s">
        <v>16</v>
      </c>
    </row>
    <row r="12" spans="1:7" ht="19.5" customHeight="1">
      <c r="A12" s="30">
        <v>11</v>
      </c>
      <c r="B12" s="31">
        <f t="shared" si="2"/>
        <v>45978</v>
      </c>
      <c r="C12" s="33">
        <v>17</v>
      </c>
      <c r="D12" s="142"/>
      <c r="E12" s="140">
        <v>45915</v>
      </c>
      <c r="F12" s="140" t="str">
        <f t="shared" si="3"/>
        <v>月</v>
      </c>
      <c r="G12" s="141" t="s">
        <v>17</v>
      </c>
    </row>
    <row r="13" spans="1:7" ht="19.5" customHeight="1" thickBot="1">
      <c r="A13" s="30">
        <v>12</v>
      </c>
      <c r="B13" s="31">
        <f t="shared" si="2"/>
        <v>46006</v>
      </c>
      <c r="C13" s="34">
        <v>15</v>
      </c>
      <c r="D13" s="142"/>
      <c r="E13" s="140">
        <v>45923</v>
      </c>
      <c r="F13" s="140" t="str">
        <f t="shared" ref="F13:F22" si="4">TEXT(E13,"aaa")</f>
        <v>火</v>
      </c>
      <c r="G13" s="141" t="s">
        <v>18</v>
      </c>
    </row>
    <row r="14" spans="1:7" ht="19.5" customHeight="1" thickTop="1">
      <c r="A14" s="30">
        <v>12</v>
      </c>
      <c r="B14" s="35">
        <f>DATE(A$4,12,29)</f>
        <v>46020</v>
      </c>
      <c r="C14" s="36"/>
      <c r="D14" s="142"/>
      <c r="E14" s="140">
        <v>45943</v>
      </c>
      <c r="F14" s="140" t="str">
        <f t="shared" si="4"/>
        <v>月</v>
      </c>
      <c r="G14" s="141" t="s">
        <v>31</v>
      </c>
    </row>
    <row r="15" spans="1:7" ht="19.5" customHeight="1">
      <c r="A15" s="30">
        <v>12</v>
      </c>
      <c r="B15" s="35">
        <f>DATE(A$4,12,30)</f>
        <v>46021</v>
      </c>
      <c r="C15" s="37"/>
      <c r="D15" s="142"/>
      <c r="E15" s="138">
        <v>45964</v>
      </c>
      <c r="F15" s="138" t="str">
        <f t="shared" si="4"/>
        <v>月</v>
      </c>
      <c r="G15" s="139" t="s">
        <v>19</v>
      </c>
    </row>
    <row r="16" spans="1:7" ht="19.5" customHeight="1">
      <c r="A16" s="38">
        <v>12</v>
      </c>
      <c r="B16" s="39">
        <f>DATE(A$4,12,31)</f>
        <v>46022</v>
      </c>
      <c r="C16" s="40"/>
      <c r="D16" s="142"/>
      <c r="E16" s="140">
        <v>45984</v>
      </c>
      <c r="F16" s="140" t="str">
        <f t="shared" si="4"/>
        <v>日</v>
      </c>
      <c r="G16" s="141" t="s">
        <v>99</v>
      </c>
    </row>
    <row r="17" spans="1:7" ht="36">
      <c r="A17" s="54">
        <f>A4+1</f>
        <v>2026</v>
      </c>
      <c r="B17" s="55" t="s">
        <v>34</v>
      </c>
      <c r="C17" s="56" t="s">
        <v>10</v>
      </c>
      <c r="D17" s="142"/>
      <c r="E17" s="138">
        <v>45985</v>
      </c>
      <c r="F17" s="138" t="str">
        <f t="shared" si="4"/>
        <v>月</v>
      </c>
      <c r="G17" s="139" t="s">
        <v>32</v>
      </c>
    </row>
    <row r="18" spans="1:7" ht="19.5" customHeight="1">
      <c r="A18" s="41">
        <v>1</v>
      </c>
      <c r="B18" s="42">
        <f>DATE($A$17,1,1)</f>
        <v>46023</v>
      </c>
      <c r="C18" s="43"/>
      <c r="D18" s="142"/>
      <c r="E18" s="138">
        <v>46023</v>
      </c>
      <c r="F18" s="138" t="str">
        <f t="shared" si="4"/>
        <v>木</v>
      </c>
      <c r="G18" s="139" t="s">
        <v>20</v>
      </c>
    </row>
    <row r="19" spans="1:7" ht="19.5" customHeight="1">
      <c r="A19" s="44">
        <v>1</v>
      </c>
      <c r="B19" s="45">
        <f>DATE($A$17,1,2)</f>
        <v>46024</v>
      </c>
      <c r="C19" s="37"/>
      <c r="D19" s="142"/>
      <c r="E19" s="140">
        <v>46034</v>
      </c>
      <c r="F19" s="140" t="str">
        <f t="shared" si="4"/>
        <v>月</v>
      </c>
      <c r="G19" s="141" t="s">
        <v>21</v>
      </c>
    </row>
    <row r="20" spans="1:7" ht="19.5" customHeight="1" thickBot="1">
      <c r="A20" s="44">
        <v>1</v>
      </c>
      <c r="B20" s="45">
        <f>DATE($A$17,1,3)</f>
        <v>46025</v>
      </c>
      <c r="C20" s="46"/>
      <c r="D20" s="142"/>
      <c r="E20" s="138">
        <v>46064</v>
      </c>
      <c r="F20" s="138" t="str">
        <f t="shared" si="4"/>
        <v>水</v>
      </c>
      <c r="G20" s="139" t="s">
        <v>22</v>
      </c>
    </row>
    <row r="21" spans="1:7" ht="19.5" customHeight="1" thickTop="1">
      <c r="A21" s="44">
        <v>1</v>
      </c>
      <c r="B21" s="47">
        <f t="shared" ref="B21:B23" si="5">IF(C21=0,0,DATE($A$17,A21,C21))</f>
        <v>46041</v>
      </c>
      <c r="C21" s="32">
        <v>19</v>
      </c>
      <c r="D21" s="142"/>
      <c r="E21" s="138">
        <v>46076</v>
      </c>
      <c r="F21" s="138" t="str">
        <f t="shared" si="4"/>
        <v>月</v>
      </c>
      <c r="G21" s="139" t="s">
        <v>23</v>
      </c>
    </row>
    <row r="22" spans="1:7" ht="19.5" customHeight="1">
      <c r="A22" s="44">
        <v>2</v>
      </c>
      <c r="B22" s="47">
        <f t="shared" si="5"/>
        <v>46069</v>
      </c>
      <c r="C22" s="33">
        <v>16</v>
      </c>
      <c r="D22" s="142"/>
      <c r="E22" s="140">
        <v>46101</v>
      </c>
      <c r="F22" s="140" t="str">
        <f t="shared" si="4"/>
        <v>金</v>
      </c>
      <c r="G22" s="141" t="s">
        <v>24</v>
      </c>
    </row>
    <row r="23" spans="1:7" ht="19.5" customHeight="1" thickBot="1">
      <c r="A23" s="48">
        <v>3</v>
      </c>
      <c r="B23" s="49">
        <f t="shared" si="5"/>
        <v>46097</v>
      </c>
      <c r="C23" s="34">
        <v>16</v>
      </c>
      <c r="D23" s="142"/>
      <c r="E23" s="140"/>
      <c r="F23" s="140"/>
      <c r="G23" s="141"/>
    </row>
    <row r="24" spans="1:7" ht="19.5" customHeight="1" thickTop="1">
      <c r="E24" s="140"/>
      <c r="F24" s="140"/>
      <c r="G24" s="141"/>
    </row>
    <row r="25" spans="1:7" ht="19.5" customHeight="1">
      <c r="E25" s="140"/>
      <c r="F25" s="140"/>
      <c r="G25" s="141"/>
    </row>
  </sheetData>
  <sheetProtection algorithmName="SHA-512" hashValue="0aJeLiusIEaCMJPovNEApqR/EVTz3ZbcnDcOTqZoWXtV0BPQ0NW9ekQf1jgYsOlWGaVF915BGaO/CuAHiSiseQ==" saltValue="CAlHesYvahMpSQpeNcIsdg==" spinCount="100000" sheet="1" formatCells="0" formatColumns="0"/>
  <mergeCells count="2">
    <mergeCell ref="A3:C3"/>
    <mergeCell ref="E3:G3"/>
  </mergeCells>
  <phoneticPr fontId="1"/>
  <pageMargins left="0.51181102362204722" right="0.31496062992125984" top="0.55118110236220474" bottom="0.55118110236220474" header="0.31496062992125984" footer="0.31496062992125984"/>
  <pageSetup paperSize="9" scale="75" fitToHeight="0" orientation="portrait" cellComments="asDisplayed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459"/>
  <sheetViews>
    <sheetView view="pageBreakPreview" topLeftCell="A430" zoomScale="90" zoomScaleNormal="100" zoomScaleSheetLayoutView="90" workbookViewId="0">
      <selection activeCell="E447" sqref="E447"/>
    </sheetView>
  </sheetViews>
  <sheetFormatPr defaultRowHeight="24" customHeight="1"/>
  <cols>
    <col min="1" max="1" width="2.125" style="4" customWidth="1"/>
    <col min="2" max="2" width="14.125" style="4" customWidth="1"/>
    <col min="3" max="3" width="5.75" style="4" customWidth="1"/>
    <col min="4" max="4" width="17.875" style="4" customWidth="1"/>
    <col min="5" max="5" width="39.875" style="4" customWidth="1"/>
    <col min="6" max="6" width="24.875" style="145" customWidth="1"/>
    <col min="7" max="7" width="3.625" style="4" customWidth="1"/>
    <col min="8" max="8" width="28.375" style="4" customWidth="1"/>
    <col min="9" max="9" width="14" style="4" customWidth="1"/>
    <col min="10" max="16384" width="9" style="4"/>
  </cols>
  <sheetData>
    <row r="1" spans="2:10" ht="24" customHeight="1" thickBot="1">
      <c r="B1" s="67">
        <v>2025</v>
      </c>
      <c r="C1" s="4" t="s">
        <v>9</v>
      </c>
      <c r="F1" s="144"/>
      <c r="H1" s="21">
        <f>B2</f>
        <v>4</v>
      </c>
      <c r="I1" s="21" t="s">
        <v>28</v>
      </c>
    </row>
    <row r="2" spans="2:10" ht="24" customHeight="1" thickBot="1">
      <c r="B2" s="5">
        <v>4</v>
      </c>
      <c r="C2" s="4" t="s">
        <v>25</v>
      </c>
      <c r="H2" s="22" t="s">
        <v>33</v>
      </c>
      <c r="I2" s="22">
        <f>COUNTIF(E6:E36,H2)</f>
        <v>10</v>
      </c>
      <c r="J2" s="4" t="s">
        <v>51</v>
      </c>
    </row>
    <row r="3" spans="2:10" ht="24" customHeight="1">
      <c r="B3" s="6" t="s">
        <v>35</v>
      </c>
      <c r="F3" s="144"/>
    </row>
    <row r="4" spans="2:10" ht="26.25" customHeight="1">
      <c r="B4" s="4" t="s">
        <v>62</v>
      </c>
      <c r="F4" s="144"/>
    </row>
    <row r="5" spans="2:10" s="59" customFormat="1" ht="36.75" customHeight="1">
      <c r="B5" s="151"/>
      <c r="C5" s="152"/>
      <c r="D5" s="60" t="s">
        <v>39</v>
      </c>
      <c r="E5" s="58" t="s">
        <v>38</v>
      </c>
      <c r="F5" s="146" t="s">
        <v>30</v>
      </c>
    </row>
    <row r="6" spans="2:10" s="8" customFormat="1" ht="24" customHeight="1">
      <c r="B6" s="9">
        <f>DATE(B1,B2,1)</f>
        <v>45748</v>
      </c>
      <c r="C6" s="7" t="str">
        <f>TEXT(B6,"aaa")</f>
        <v>火</v>
      </c>
      <c r="D6" s="7" t="str">
        <f>IF(B6="","",IF(COUNTIF(休館日・祝日!$B:$B,$B6)&gt;=1,"休館日",IF(E6="利用申込のない夜間閉館","★18時閉館",IF(C6="日","17時閉館",IF(COUNTIF(休館日・祝日!$E:$E,$B6)&gt;=1,"17時閉館","21時閉館")))))</f>
        <v>★18時閉館</v>
      </c>
      <c r="E6" s="10" t="s">
        <v>33</v>
      </c>
      <c r="F6" s="147" t="str">
        <f>IF(D6="17時閉館","夜間閉館ではなく17時閉館","")</f>
        <v/>
      </c>
    </row>
    <row r="7" spans="2:10" s="8" customFormat="1" ht="24" customHeight="1">
      <c r="B7" s="9">
        <f>IF(B6="","",IF(MONTH(B6+1)=$B$2,B6+1,""))</f>
        <v>45749</v>
      </c>
      <c r="C7" s="7" t="str">
        <f t="shared" ref="C7:C36" si="0">TEXT(B7,"aaa")</f>
        <v>水</v>
      </c>
      <c r="D7" s="7" t="str">
        <f>IF(B7="","",IF(COUNTIF(休館日・祝日!$B:$B,$B7)&gt;=1,"休館日",IF(E7="利用申込のない夜間閉館","★18時閉館",IF(C7="日","17時閉館",IF(COUNTIF(休館日・祝日!$E:$E,$B7)&gt;=1,"17時閉館","21時閉館")))))</f>
        <v>★18時閉館</v>
      </c>
      <c r="E7" s="10" t="s">
        <v>33</v>
      </c>
      <c r="F7" s="147" t="str">
        <f t="shared" ref="F7:F36" si="1">IF(D7="17時閉館","夜間閉館ではなく17時閉館","")</f>
        <v/>
      </c>
    </row>
    <row r="8" spans="2:10" s="8" customFormat="1" ht="24" customHeight="1">
      <c r="B8" s="9">
        <f t="shared" ref="B8:B36" si="2">IF(B7="","",IF(MONTH(B7+1)=$B$2,B7+1,""))</f>
        <v>45750</v>
      </c>
      <c r="C8" s="7" t="str">
        <f t="shared" si="0"/>
        <v>木</v>
      </c>
      <c r="D8" s="7" t="str">
        <f>IF(B8="","",IF(COUNTIF(休館日・祝日!$B:$B,$B8)&gt;=1,"休館日",IF(E8="利用申込のない夜間閉館","★18時閉館",IF(C8="日","17時閉館",IF(COUNTIF(休館日・祝日!$E:$E,$B8)&gt;=1,"17時閉館","21時閉館")))))</f>
        <v>★18時閉館</v>
      </c>
      <c r="E8" s="10" t="s">
        <v>33</v>
      </c>
      <c r="F8" s="147" t="str">
        <f t="shared" si="1"/>
        <v/>
      </c>
    </row>
    <row r="9" spans="2:10" s="8" customFormat="1" ht="24" customHeight="1">
      <c r="B9" s="9">
        <f t="shared" si="2"/>
        <v>45751</v>
      </c>
      <c r="C9" s="7" t="str">
        <f t="shared" si="0"/>
        <v>金</v>
      </c>
      <c r="D9" s="7" t="str">
        <f>IF(B9="","",IF(COUNTIF(休館日・祝日!$B:$B,$B9)&gt;=1,"休館日",IF(E9="利用申込のない夜間閉館","★18時閉館",IF(C9="日","17時閉館",IF(COUNTIF(休館日・祝日!$E:$E,$B9)&gt;=1,"17時閉館","21時閉館")))))</f>
        <v>★18時閉館</v>
      </c>
      <c r="E9" s="10" t="s">
        <v>33</v>
      </c>
      <c r="F9" s="147" t="str">
        <f t="shared" si="1"/>
        <v/>
      </c>
    </row>
    <row r="10" spans="2:10" s="8" customFormat="1" ht="24" customHeight="1">
      <c r="B10" s="9">
        <f t="shared" si="2"/>
        <v>45752</v>
      </c>
      <c r="C10" s="7" t="str">
        <f t="shared" si="0"/>
        <v>土</v>
      </c>
      <c r="D10" s="7" t="str">
        <f>IF(B10="","",IF(COUNTIF(休館日・祝日!$B:$B,$B10)&gt;=1,"休館日",IF(E10="利用申込のない夜間閉館","★18時閉館",IF(C10="日","17時閉館",IF(COUNTIF(休館日・祝日!$E:$E,$B10)&gt;=1,"17時閉館","21時閉館")))))</f>
        <v>21時閉館</v>
      </c>
      <c r="E10" s="10"/>
      <c r="F10" s="147" t="str">
        <f t="shared" si="1"/>
        <v/>
      </c>
    </row>
    <row r="11" spans="2:10" s="8" customFormat="1" ht="24" customHeight="1">
      <c r="B11" s="9">
        <f t="shared" si="2"/>
        <v>45753</v>
      </c>
      <c r="C11" s="7" t="str">
        <f t="shared" si="0"/>
        <v>日</v>
      </c>
      <c r="D11" s="7" t="str">
        <f>IF(B11="","",IF(COUNTIF(休館日・祝日!$B:$B,$B11)&gt;=1,"休館日",IF(E11="利用申込のない夜間閉館","★18時閉館",IF(C11="日","17時閉館",IF(COUNTIF(休館日・祝日!$E:$E,$B11)&gt;=1,"17時閉館","21時閉館")))))</f>
        <v>17時閉館</v>
      </c>
      <c r="E11" s="10"/>
      <c r="F11" s="147" t="str">
        <f t="shared" si="1"/>
        <v>夜間閉館ではなく17時閉館</v>
      </c>
    </row>
    <row r="12" spans="2:10" s="8" customFormat="1" ht="24" customHeight="1">
      <c r="B12" s="9">
        <f t="shared" si="2"/>
        <v>45754</v>
      </c>
      <c r="C12" s="7" t="str">
        <f t="shared" si="0"/>
        <v>月</v>
      </c>
      <c r="D12" s="7" t="str">
        <f>IF(B12="","",IF(COUNTIF(休館日・祝日!$B:$B,$B12)&gt;=1,"休館日",IF(E12="利用申込のない夜間閉館","★18時閉館",IF(C12="日","17時閉館",IF(COUNTIF(休館日・祝日!$E:$E,$B12)&gt;=1,"17時閉館","21時閉館")))))</f>
        <v>★18時閉館</v>
      </c>
      <c r="E12" s="10" t="s">
        <v>33</v>
      </c>
      <c r="F12" s="147" t="str">
        <f t="shared" si="1"/>
        <v/>
      </c>
    </row>
    <row r="13" spans="2:10" s="8" customFormat="1" ht="24" customHeight="1">
      <c r="B13" s="9">
        <f t="shared" si="2"/>
        <v>45755</v>
      </c>
      <c r="C13" s="7" t="str">
        <f t="shared" si="0"/>
        <v>火</v>
      </c>
      <c r="D13" s="7" t="str">
        <f>IF(B13="","",IF(COUNTIF(休館日・祝日!$B:$B,$B13)&gt;=1,"休館日",IF(E13="利用申込のない夜間閉館","★18時閉館",IF(C13="日","17時閉館",IF(COUNTIF(休館日・祝日!$E:$E,$B13)&gt;=1,"17時閉館","21時閉館")))))</f>
        <v>21時閉館</v>
      </c>
      <c r="E13" s="10"/>
      <c r="F13" s="147" t="str">
        <f t="shared" si="1"/>
        <v/>
      </c>
    </row>
    <row r="14" spans="2:10" s="8" customFormat="1" ht="24" customHeight="1">
      <c r="B14" s="9">
        <f t="shared" si="2"/>
        <v>45756</v>
      </c>
      <c r="C14" s="7" t="str">
        <f t="shared" si="0"/>
        <v>水</v>
      </c>
      <c r="D14" s="7" t="str">
        <f>IF(B14="","",IF(COUNTIF(休館日・祝日!$B:$B,$B14)&gt;=1,"休館日",IF(E14="利用申込のない夜間閉館","★18時閉館",IF(C14="日","17時閉館",IF(COUNTIF(休館日・祝日!$E:$E,$B14)&gt;=1,"17時閉館","21時閉館")))))</f>
        <v>21時閉館</v>
      </c>
      <c r="E14" s="10"/>
      <c r="F14" s="147" t="str">
        <f t="shared" si="1"/>
        <v/>
      </c>
    </row>
    <row r="15" spans="2:10" s="8" customFormat="1" ht="24" customHeight="1">
      <c r="B15" s="9">
        <f t="shared" si="2"/>
        <v>45757</v>
      </c>
      <c r="C15" s="7" t="str">
        <f t="shared" si="0"/>
        <v>木</v>
      </c>
      <c r="D15" s="7" t="str">
        <f>IF(B15="","",IF(COUNTIF(休館日・祝日!$B:$B,$B15)&gt;=1,"休館日",IF(E15="利用申込のない夜間閉館","★18時閉館",IF(C15="日","17時閉館",IF(COUNTIF(休館日・祝日!$E:$E,$B15)&gt;=1,"17時閉館","21時閉館")))))</f>
        <v>★18時閉館</v>
      </c>
      <c r="E15" s="10" t="s">
        <v>33</v>
      </c>
      <c r="F15" s="147" t="str">
        <f t="shared" si="1"/>
        <v/>
      </c>
    </row>
    <row r="16" spans="2:10" s="8" customFormat="1" ht="24" customHeight="1">
      <c r="B16" s="9">
        <f t="shared" si="2"/>
        <v>45758</v>
      </c>
      <c r="C16" s="7" t="str">
        <f t="shared" si="0"/>
        <v>金</v>
      </c>
      <c r="D16" s="7" t="str">
        <f>IF(B16="","",IF(COUNTIF(休館日・祝日!$B:$B,$B16)&gt;=1,"休館日",IF(E16="利用申込のない夜間閉館","★18時閉館",IF(C16="日","17時閉館",IF(COUNTIF(休館日・祝日!$E:$E,$B16)&gt;=1,"17時閉館","21時閉館")))))</f>
        <v>21時閉館</v>
      </c>
      <c r="E16" s="10"/>
      <c r="F16" s="147" t="str">
        <f t="shared" si="1"/>
        <v/>
      </c>
    </row>
    <row r="17" spans="2:6" s="8" customFormat="1" ht="24" customHeight="1">
      <c r="B17" s="9">
        <f t="shared" si="2"/>
        <v>45759</v>
      </c>
      <c r="C17" s="7" t="str">
        <f t="shared" si="0"/>
        <v>土</v>
      </c>
      <c r="D17" s="7" t="str">
        <f>IF(B17="","",IF(COUNTIF(休館日・祝日!$B:$B,$B17)&gt;=1,"休館日",IF(E17="利用申込のない夜間閉館","★18時閉館",IF(C17="日","17時閉館",IF(COUNTIF(休館日・祝日!$E:$E,$B17)&gt;=1,"17時閉館","21時閉館")))))</f>
        <v>21時閉館</v>
      </c>
      <c r="E17" s="10"/>
      <c r="F17" s="147" t="str">
        <f t="shared" si="1"/>
        <v/>
      </c>
    </row>
    <row r="18" spans="2:6" s="8" customFormat="1" ht="24" customHeight="1">
      <c r="B18" s="9">
        <f>IF(B17="","",IF(MONTH(B17+1)=$B$2,B17+1,""))</f>
        <v>45760</v>
      </c>
      <c r="C18" s="7" t="str">
        <f t="shared" si="0"/>
        <v>日</v>
      </c>
      <c r="D18" s="7" t="str">
        <f>IF(B18="","",IF(COUNTIF(休館日・祝日!$B:$B,$B18)&gt;=1,"休館日",IF(E18="利用申込のない夜間閉館","★18時閉館",IF(C18="日","17時閉館",IF(COUNTIF(休館日・祝日!$E:$E,$B18)&gt;=1,"17時閉館","21時閉館")))))</f>
        <v>17時閉館</v>
      </c>
      <c r="E18" s="10"/>
      <c r="F18" s="147" t="str">
        <f t="shared" si="1"/>
        <v>夜間閉館ではなく17時閉館</v>
      </c>
    </row>
    <row r="19" spans="2:6" s="8" customFormat="1" ht="24" customHeight="1">
      <c r="B19" s="9">
        <f t="shared" si="2"/>
        <v>45761</v>
      </c>
      <c r="C19" s="7" t="str">
        <f t="shared" si="0"/>
        <v>月</v>
      </c>
      <c r="D19" s="7" t="str">
        <f>IF(B19="","",IF(COUNTIF(休館日・祝日!$B:$B,$B19)&gt;=1,"休館日",IF(E19="利用申込のない夜間閉館","★18時閉館",IF(C19="日","17時閉館",IF(COUNTIF(休館日・祝日!$E:$E,$B19)&gt;=1,"17時閉館","21時閉館")))))</f>
        <v>★18時閉館</v>
      </c>
      <c r="E19" s="10" t="s">
        <v>33</v>
      </c>
      <c r="F19" s="147" t="str">
        <f t="shared" si="1"/>
        <v/>
      </c>
    </row>
    <row r="20" spans="2:6" s="8" customFormat="1" ht="24" customHeight="1">
      <c r="B20" s="9">
        <f t="shared" si="2"/>
        <v>45762</v>
      </c>
      <c r="C20" s="7" t="str">
        <f t="shared" si="0"/>
        <v>火</v>
      </c>
      <c r="D20" s="7" t="str">
        <f>IF(B20="","",IF(COUNTIF(休館日・祝日!$B:$B,$B20)&gt;=1,"休館日",IF(E20="利用申込のない夜間閉館","★18時閉館",IF(C20="日","17時閉館",IF(COUNTIF(休館日・祝日!$E:$E,$B20)&gt;=1,"17時閉館","21時閉館")))))</f>
        <v>★18時閉館</v>
      </c>
      <c r="E20" s="10" t="s">
        <v>33</v>
      </c>
      <c r="F20" s="147" t="str">
        <f t="shared" si="1"/>
        <v/>
      </c>
    </row>
    <row r="21" spans="2:6" s="8" customFormat="1" ht="24" customHeight="1">
      <c r="B21" s="9">
        <f t="shared" si="2"/>
        <v>45763</v>
      </c>
      <c r="C21" s="7" t="str">
        <f t="shared" si="0"/>
        <v>水</v>
      </c>
      <c r="D21" s="7" t="str">
        <f>IF(B21="","",IF(COUNTIF(休館日・祝日!$B:$B,$B21)&gt;=1,"休館日",IF(E21="利用申込のない夜間閉館","★18時閉館",IF(C21="日","17時閉館",IF(COUNTIF(休館日・祝日!$E:$E,$B21)&gt;=1,"17時閉館","21時閉館")))))</f>
        <v>21時閉館</v>
      </c>
      <c r="E21" s="10"/>
      <c r="F21" s="147" t="str">
        <f t="shared" si="1"/>
        <v/>
      </c>
    </row>
    <row r="22" spans="2:6" s="8" customFormat="1" ht="24" customHeight="1">
      <c r="B22" s="9">
        <f t="shared" si="2"/>
        <v>45764</v>
      </c>
      <c r="C22" s="7" t="str">
        <f t="shared" si="0"/>
        <v>木</v>
      </c>
      <c r="D22" s="7" t="str">
        <f>IF(B22="","",IF(COUNTIF(休館日・祝日!$B:$B,$B22)&gt;=1,"休館日",IF(E22="利用申込のない夜間閉館","★18時閉館",IF(C22="日","17時閉館",IF(COUNTIF(休館日・祝日!$E:$E,$B22)&gt;=1,"17時閉館","21時閉館")))))</f>
        <v>21時閉館</v>
      </c>
      <c r="E22" s="10"/>
      <c r="F22" s="147" t="str">
        <f t="shared" si="1"/>
        <v/>
      </c>
    </row>
    <row r="23" spans="2:6" s="8" customFormat="1" ht="24" customHeight="1">
      <c r="B23" s="9">
        <f t="shared" si="2"/>
        <v>45765</v>
      </c>
      <c r="C23" s="7" t="str">
        <f t="shared" si="0"/>
        <v>金</v>
      </c>
      <c r="D23" s="7" t="str">
        <f>IF(B23="","",IF(COUNTIF(休館日・祝日!$B:$B,$B23)&gt;=1,"休館日",IF(E23="利用申込のない夜間閉館","★18時閉館",IF(C23="日","17時閉館",IF(COUNTIF(休館日・祝日!$E:$E,$B23)&gt;=1,"17時閉館","21時閉館")))))</f>
        <v>21時閉館</v>
      </c>
      <c r="E23" s="10"/>
      <c r="F23" s="147" t="str">
        <f t="shared" si="1"/>
        <v/>
      </c>
    </row>
    <row r="24" spans="2:6" s="8" customFormat="1" ht="24" customHeight="1">
      <c r="B24" s="9">
        <f t="shared" si="2"/>
        <v>45766</v>
      </c>
      <c r="C24" s="7" t="str">
        <f t="shared" si="0"/>
        <v>土</v>
      </c>
      <c r="D24" s="7" t="str">
        <f>IF(B24="","",IF(COUNTIF(休館日・祝日!$B:$B,$B24)&gt;=1,"休館日",IF(E24="利用申込のない夜間閉館","★18時閉館",IF(C24="日","17時閉館",IF(COUNTIF(休館日・祝日!$E:$E,$B24)&gt;=1,"17時閉館","21時閉館")))))</f>
        <v>21時閉館</v>
      </c>
      <c r="E24" s="10"/>
      <c r="F24" s="147" t="str">
        <f t="shared" si="1"/>
        <v/>
      </c>
    </row>
    <row r="25" spans="2:6" s="8" customFormat="1" ht="24" customHeight="1">
      <c r="B25" s="9">
        <f t="shared" si="2"/>
        <v>45767</v>
      </c>
      <c r="C25" s="7" t="str">
        <f t="shared" si="0"/>
        <v>日</v>
      </c>
      <c r="D25" s="7" t="str">
        <f>IF(B25="","",IF(COUNTIF(休館日・祝日!$B:$B,$B25)&gt;=1,"休館日",IF(E25="利用申込のない夜間閉館","★18時閉館",IF(C25="日","17時閉館",IF(COUNTIF(休館日・祝日!$E:$E,$B25)&gt;=1,"17時閉館","21時閉館")))))</f>
        <v>17時閉館</v>
      </c>
      <c r="E25" s="10"/>
      <c r="F25" s="147" t="str">
        <f t="shared" si="1"/>
        <v>夜間閉館ではなく17時閉館</v>
      </c>
    </row>
    <row r="26" spans="2:6" s="8" customFormat="1" ht="24" customHeight="1">
      <c r="B26" s="9">
        <f t="shared" si="2"/>
        <v>45768</v>
      </c>
      <c r="C26" s="7" t="str">
        <f t="shared" si="0"/>
        <v>月</v>
      </c>
      <c r="D26" s="7" t="str">
        <f>IF(B26="","",IF(COUNTIF(休館日・祝日!$B:$B,$B26)&gt;=1,"休館日",IF(E26="利用申込のない夜間閉館","★18時閉館",IF(C26="日","17時閉館",IF(COUNTIF(休館日・祝日!$E:$E,$B26)&gt;=1,"17時閉館","21時閉館")))))</f>
        <v>休館日</v>
      </c>
      <c r="E26" s="10"/>
      <c r="F26" s="147" t="str">
        <f t="shared" si="1"/>
        <v/>
      </c>
    </row>
    <row r="27" spans="2:6" s="8" customFormat="1" ht="24" customHeight="1">
      <c r="B27" s="9">
        <f t="shared" si="2"/>
        <v>45769</v>
      </c>
      <c r="C27" s="7" t="str">
        <f t="shared" si="0"/>
        <v>火</v>
      </c>
      <c r="D27" s="7" t="str">
        <f>IF(B27="","",IF(COUNTIF(休館日・祝日!$B:$B,$B27)&gt;=1,"休館日",IF(E27="利用申込のない夜間閉館","★18時閉館",IF(C27="日","17時閉館",IF(COUNTIF(休館日・祝日!$E:$E,$B27)&gt;=1,"17時閉館","21時閉館")))))</f>
        <v>21時閉館</v>
      </c>
      <c r="E27" s="10"/>
      <c r="F27" s="147" t="str">
        <f t="shared" si="1"/>
        <v/>
      </c>
    </row>
    <row r="28" spans="2:6" s="8" customFormat="1" ht="24" customHeight="1">
      <c r="B28" s="9">
        <f t="shared" si="2"/>
        <v>45770</v>
      </c>
      <c r="C28" s="7" t="str">
        <f t="shared" si="0"/>
        <v>水</v>
      </c>
      <c r="D28" s="7" t="str">
        <f>IF(B28="","",IF(COUNTIF(休館日・祝日!$B:$B,$B28)&gt;=1,"休館日",IF(E28="利用申込のない夜間閉館","★18時閉館",IF(C28="日","17時閉館",IF(COUNTIF(休館日・祝日!$E:$E,$B28)&gt;=1,"17時閉館","21時閉館")))))</f>
        <v>21時閉館</v>
      </c>
      <c r="E28" s="10"/>
      <c r="F28" s="147" t="str">
        <f t="shared" si="1"/>
        <v/>
      </c>
    </row>
    <row r="29" spans="2:6" s="8" customFormat="1" ht="24" customHeight="1">
      <c r="B29" s="9">
        <f t="shared" si="2"/>
        <v>45771</v>
      </c>
      <c r="C29" s="7" t="str">
        <f t="shared" si="0"/>
        <v>木</v>
      </c>
      <c r="D29" s="7" t="str">
        <f>IF(B29="","",IF(COUNTIF(休館日・祝日!$B:$B,$B29)&gt;=1,"休館日",IF(E29="利用申込のない夜間閉館","★18時閉館",IF(C29="日","17時閉館",IF(COUNTIF(休館日・祝日!$E:$E,$B29)&gt;=1,"17時閉館","21時閉館")))))</f>
        <v>★18時閉館</v>
      </c>
      <c r="E29" s="10" t="s">
        <v>33</v>
      </c>
      <c r="F29" s="147" t="str">
        <f t="shared" si="1"/>
        <v/>
      </c>
    </row>
    <row r="30" spans="2:6" s="8" customFormat="1" ht="24" customHeight="1">
      <c r="B30" s="9">
        <f t="shared" si="2"/>
        <v>45772</v>
      </c>
      <c r="C30" s="7" t="str">
        <f t="shared" si="0"/>
        <v>金</v>
      </c>
      <c r="D30" s="7" t="str">
        <f>IF(B30="","",IF(COUNTIF(休館日・祝日!$B:$B,$B30)&gt;=1,"休館日",IF(E30="利用申込のない夜間閉館","★18時閉館",IF(C30="日","17時閉館",IF(COUNTIF(休館日・祝日!$E:$E,$B30)&gt;=1,"17時閉館","21時閉館")))))</f>
        <v>21時閉館</v>
      </c>
      <c r="E30" s="10"/>
      <c r="F30" s="147" t="str">
        <f t="shared" si="1"/>
        <v/>
      </c>
    </row>
    <row r="31" spans="2:6" s="8" customFormat="1" ht="24" customHeight="1">
      <c r="B31" s="9">
        <f t="shared" si="2"/>
        <v>45773</v>
      </c>
      <c r="C31" s="7" t="str">
        <f t="shared" si="0"/>
        <v>土</v>
      </c>
      <c r="D31" s="7" t="str">
        <f>IF(B31="","",IF(COUNTIF(休館日・祝日!$B:$B,$B31)&gt;=1,"休館日",IF(E31="利用申込のない夜間閉館","★18時閉館",IF(C31="日","17時閉館",IF(COUNTIF(休館日・祝日!$E:$E,$B31)&gt;=1,"17時閉館","21時閉館")))))</f>
        <v>★18時閉館</v>
      </c>
      <c r="E31" s="10" t="s">
        <v>33</v>
      </c>
      <c r="F31" s="147" t="str">
        <f t="shared" si="1"/>
        <v/>
      </c>
    </row>
    <row r="32" spans="2:6" s="8" customFormat="1" ht="24" customHeight="1">
      <c r="B32" s="9">
        <f t="shared" si="2"/>
        <v>45774</v>
      </c>
      <c r="C32" s="7" t="str">
        <f t="shared" si="0"/>
        <v>日</v>
      </c>
      <c r="D32" s="7" t="str">
        <f>IF(B32="","",IF(COUNTIF(休館日・祝日!$B:$B,$B32)&gt;=1,"休館日",IF(E32="利用申込のない夜間閉館","★18時閉館",IF(C32="日","17時閉館",IF(COUNTIF(休館日・祝日!$E:$E,$B32)&gt;=1,"17時閉館","21時閉館")))))</f>
        <v>17時閉館</v>
      </c>
      <c r="E32" s="10"/>
      <c r="F32" s="147" t="str">
        <f t="shared" si="1"/>
        <v>夜間閉館ではなく17時閉館</v>
      </c>
    </row>
    <row r="33" spans="2:10" s="8" customFormat="1" ht="24" customHeight="1">
      <c r="B33" s="9">
        <f t="shared" si="2"/>
        <v>45775</v>
      </c>
      <c r="C33" s="7" t="str">
        <f t="shared" si="0"/>
        <v>月</v>
      </c>
      <c r="D33" s="7" t="str">
        <f>IF(B33="","",IF(COUNTIF(休館日・祝日!$B:$B,$B33)&gt;=1,"休館日",IF(E33="利用申込のない夜間閉館","★18時閉館",IF(C33="日","17時閉館",IF(COUNTIF(休館日・祝日!$E:$E,$B33)&gt;=1,"17時閉館","21時閉館")))))</f>
        <v>21時閉館</v>
      </c>
      <c r="E33" s="10"/>
      <c r="F33" s="147" t="str">
        <f t="shared" si="1"/>
        <v/>
      </c>
    </row>
    <row r="34" spans="2:10" s="8" customFormat="1" ht="24" customHeight="1">
      <c r="B34" s="9">
        <f t="shared" si="2"/>
        <v>45776</v>
      </c>
      <c r="C34" s="7" t="str">
        <f t="shared" si="0"/>
        <v>火</v>
      </c>
      <c r="D34" s="7" t="str">
        <f>IF(B34="","",IF(COUNTIF(休館日・祝日!$B:$B,$B34)&gt;=1,"休館日",IF(E34="利用申込のない夜間閉館","★18時閉館",IF(C34="日","17時閉館",IF(COUNTIF(休館日・祝日!$E:$E,$B34)&gt;=1,"17時閉館","21時閉館")))))</f>
        <v>17時閉館</v>
      </c>
      <c r="E34" s="10"/>
      <c r="F34" s="147" t="str">
        <f t="shared" si="1"/>
        <v>夜間閉館ではなく17時閉館</v>
      </c>
    </row>
    <row r="35" spans="2:10" s="8" customFormat="1" ht="24" customHeight="1">
      <c r="B35" s="9">
        <f t="shared" si="2"/>
        <v>45777</v>
      </c>
      <c r="C35" s="7" t="str">
        <f t="shared" si="0"/>
        <v>水</v>
      </c>
      <c r="D35" s="7" t="str">
        <f>IF(B35="","",IF(COUNTIF(休館日・祝日!$B:$B,$B35)&gt;=1,"休館日",IF(E35="利用申込のない夜間閉館","★18時閉館",IF(C35="日","17時閉館",IF(COUNTIF(休館日・祝日!$E:$E,$B35)&gt;=1,"17時閉館","21時閉館")))))</f>
        <v>21時閉館</v>
      </c>
      <c r="E35" s="10"/>
      <c r="F35" s="147" t="str">
        <f t="shared" si="1"/>
        <v/>
      </c>
    </row>
    <row r="36" spans="2:10" s="8" customFormat="1" ht="24" customHeight="1">
      <c r="B36" s="9" t="str">
        <f t="shared" si="2"/>
        <v/>
      </c>
      <c r="C36" s="7" t="str">
        <f t="shared" si="0"/>
        <v/>
      </c>
      <c r="D36" s="7" t="str">
        <f>IF(B36="","",IF(COUNTIF(休館日・祝日!$B:$B,$B36)&gt;=1,"休館日",IF(E36="利用申込のない夜間閉館","★18時閉館",IF(C36="日","17時閉館",IF(COUNTIF(休館日・祝日!$E:$E,$B36)&gt;=1,"17時閉館","21時閉館")))))</f>
        <v/>
      </c>
      <c r="E36" s="10"/>
      <c r="F36" s="147" t="str">
        <f t="shared" si="1"/>
        <v/>
      </c>
    </row>
    <row r="37" spans="2:10" ht="24" customHeight="1" thickBot="1">
      <c r="H37" s="66"/>
    </row>
    <row r="38" spans="2:10" ht="24" customHeight="1" thickBot="1">
      <c r="B38" s="72">
        <f>$B$1</f>
        <v>2025</v>
      </c>
      <c r="C38" s="4" t="s">
        <v>9</v>
      </c>
      <c r="F38" s="145" t="s">
        <v>0</v>
      </c>
      <c r="H38" s="21">
        <f>B39</f>
        <v>5</v>
      </c>
      <c r="I38" s="21" t="s">
        <v>28</v>
      </c>
    </row>
    <row r="39" spans="2:10" ht="24" customHeight="1" thickBot="1">
      <c r="B39" s="5">
        <v>5</v>
      </c>
      <c r="C39" s="4" t="s">
        <v>25</v>
      </c>
      <c r="H39" s="22" t="s">
        <v>33</v>
      </c>
      <c r="I39" s="22">
        <f>COUNTIF(E44:E74,H39)</f>
        <v>8</v>
      </c>
      <c r="J39" s="4" t="s">
        <v>51</v>
      </c>
    </row>
    <row r="40" spans="2:10" ht="24" customHeight="1">
      <c r="B40" s="6" t="s">
        <v>26</v>
      </c>
      <c r="F40" s="144"/>
      <c r="H40" s="66"/>
    </row>
    <row r="41" spans="2:10" ht="26.25" customHeight="1">
      <c r="B41" s="4" t="s">
        <v>27</v>
      </c>
      <c r="F41" s="144"/>
      <c r="H41" s="66"/>
    </row>
    <row r="42" spans="2:10" ht="26.25" customHeight="1">
      <c r="F42" s="144"/>
      <c r="H42" s="66"/>
    </row>
    <row r="43" spans="2:10" s="8" customFormat="1" ht="36.75" customHeight="1">
      <c r="B43" s="151"/>
      <c r="C43" s="152"/>
      <c r="D43" s="60" t="s">
        <v>39</v>
      </c>
      <c r="E43" s="58" t="s">
        <v>38</v>
      </c>
      <c r="F43" s="146" t="s">
        <v>30</v>
      </c>
      <c r="H43" s="66"/>
    </row>
    <row r="44" spans="2:10" s="8" customFormat="1" ht="24" customHeight="1">
      <c r="B44" s="9">
        <f>DATE(B38,B39,1)</f>
        <v>45778</v>
      </c>
      <c r="C44" s="7" t="str">
        <f>TEXT(B44,"aaa")</f>
        <v>木</v>
      </c>
      <c r="D44" s="7" t="str">
        <f>IF(B44="","",IF(COUNTIF(休館日・祝日!$B:$B,$B44)&gt;=1,"休館日",IF(E44="利用申込のない夜間閉館","★18時閉館",IF(C44="日","17時閉館",IF(COUNTIF(休館日・祝日!$E:$E,$B44)&gt;=1,"17時閉館","21時閉館")))))</f>
        <v>★18時閉館</v>
      </c>
      <c r="E44" s="10" t="s">
        <v>33</v>
      </c>
      <c r="F44" s="147" t="str">
        <f t="shared" ref="F44:F74" si="3">IF(D44="17時閉館","夜間閉館ではなく17時閉館","")</f>
        <v/>
      </c>
      <c r="H44" s="66"/>
    </row>
    <row r="45" spans="2:10" s="8" customFormat="1" ht="24" customHeight="1">
      <c r="B45" s="9">
        <f>IF(B44="","",IF(MONTH(B44+1)=$B$39,B44+1,""))</f>
        <v>45779</v>
      </c>
      <c r="C45" s="7" t="str">
        <f t="shared" ref="C45:C74" si="4">TEXT(B45,"aaa")</f>
        <v>金</v>
      </c>
      <c r="D45" s="7" t="str">
        <f>IF(B45="","",IF(COUNTIF(休館日・祝日!$B:$B,$B45)&gt;=1,"休館日",IF(E45="利用申込のない夜間閉館","★18時閉館",IF(C45="日","17時閉館",IF(COUNTIF(休館日・祝日!$E:$E,$B45)&gt;=1,"17時閉館","21時閉館")))))</f>
        <v>★18時閉館</v>
      </c>
      <c r="E45" s="10" t="s">
        <v>33</v>
      </c>
      <c r="F45" s="147" t="str">
        <f t="shared" si="3"/>
        <v/>
      </c>
      <c r="H45" s="66"/>
    </row>
    <row r="46" spans="2:10" s="8" customFormat="1" ht="24" customHeight="1">
      <c r="B46" s="9">
        <f t="shared" ref="B46:B74" si="5">IF(B45="","",IF(MONTH(B45+1)=$B$39,B45+1,""))</f>
        <v>45780</v>
      </c>
      <c r="C46" s="7" t="str">
        <f t="shared" si="4"/>
        <v>土</v>
      </c>
      <c r="D46" s="7" t="str">
        <f>IF(B46="","",IF(COUNTIF(休館日・祝日!$B:$B,$B46)&gt;=1,"休館日",IF(E46="利用申込のない夜間閉館","★18時閉館",IF(C46="日","17時閉館",IF(COUNTIF(休館日・祝日!$E:$E,$B46)&gt;=1,"17時閉館","21時閉館")))))</f>
        <v>17時閉館</v>
      </c>
      <c r="E46" s="10"/>
      <c r="F46" s="147" t="str">
        <f t="shared" si="3"/>
        <v>夜間閉館ではなく17時閉館</v>
      </c>
      <c r="H46" s="66"/>
    </row>
    <row r="47" spans="2:10" s="8" customFormat="1" ht="24" customHeight="1">
      <c r="B47" s="9">
        <f t="shared" si="5"/>
        <v>45781</v>
      </c>
      <c r="C47" s="7" t="str">
        <f t="shared" si="4"/>
        <v>日</v>
      </c>
      <c r="D47" s="7" t="str">
        <f>IF(B47="","",IF(COUNTIF(休館日・祝日!$B:$B,$B47)&gt;=1,"休館日",IF(E47="利用申込のない夜間閉館","★18時閉館",IF(C47="日","17時閉館",IF(COUNTIF(休館日・祝日!$E:$E,$B47)&gt;=1,"17時閉館","21時閉館")))))</f>
        <v>17時閉館</v>
      </c>
      <c r="E47" s="10"/>
      <c r="F47" s="147" t="str">
        <f t="shared" si="3"/>
        <v>夜間閉館ではなく17時閉館</v>
      </c>
      <c r="H47" s="66"/>
    </row>
    <row r="48" spans="2:10" s="8" customFormat="1" ht="24" customHeight="1">
      <c r="B48" s="9">
        <f t="shared" si="5"/>
        <v>45782</v>
      </c>
      <c r="C48" s="7" t="str">
        <f t="shared" si="4"/>
        <v>月</v>
      </c>
      <c r="D48" s="7" t="str">
        <f>IF(B48="","",IF(COUNTIF(休館日・祝日!$B:$B,$B48)&gt;=1,"休館日",IF(E48="利用申込のない夜間閉館","★18時閉館",IF(C48="日","17時閉館",IF(COUNTIF(休館日・祝日!$E:$E,$B48)&gt;=1,"17時閉館","21時閉館")))))</f>
        <v>17時閉館</v>
      </c>
      <c r="E48" s="10"/>
      <c r="F48" s="147" t="str">
        <f t="shared" si="3"/>
        <v>夜間閉館ではなく17時閉館</v>
      </c>
      <c r="H48" s="66"/>
    </row>
    <row r="49" spans="2:8" s="8" customFormat="1" ht="24" customHeight="1">
      <c r="B49" s="9">
        <f t="shared" si="5"/>
        <v>45783</v>
      </c>
      <c r="C49" s="7" t="str">
        <f t="shared" si="4"/>
        <v>火</v>
      </c>
      <c r="D49" s="7" t="str">
        <f>IF(B49="","",IF(COUNTIF(休館日・祝日!$B:$B,$B49)&gt;=1,"休館日",IF(E49="利用申込のない夜間閉館","★18時閉館",IF(C49="日","17時閉館",IF(COUNTIF(休館日・祝日!$E:$E,$B49)&gt;=1,"17時閉館","21時閉館")))))</f>
        <v>17時閉館</v>
      </c>
      <c r="E49" s="10"/>
      <c r="F49" s="147" t="str">
        <f t="shared" si="3"/>
        <v>夜間閉館ではなく17時閉館</v>
      </c>
      <c r="H49" s="66"/>
    </row>
    <row r="50" spans="2:8" s="8" customFormat="1" ht="24" customHeight="1">
      <c r="B50" s="9">
        <f t="shared" si="5"/>
        <v>45784</v>
      </c>
      <c r="C50" s="7" t="str">
        <f t="shared" si="4"/>
        <v>水</v>
      </c>
      <c r="D50" s="7" t="str">
        <f>IF(B50="","",IF(COUNTIF(休館日・祝日!$B:$B,$B50)&gt;=1,"休館日",IF(E50="利用申込のない夜間閉館","★18時閉館",IF(C50="日","17時閉館",IF(COUNTIF(休館日・祝日!$E:$E,$B50)&gt;=1,"17時閉館","21時閉館")))))</f>
        <v>21時閉館</v>
      </c>
      <c r="E50" s="10"/>
      <c r="F50" s="147" t="str">
        <f t="shared" si="3"/>
        <v/>
      </c>
      <c r="H50" s="66"/>
    </row>
    <row r="51" spans="2:8" s="8" customFormat="1" ht="24" customHeight="1">
      <c r="B51" s="9">
        <f t="shared" si="5"/>
        <v>45785</v>
      </c>
      <c r="C51" s="7" t="str">
        <f t="shared" si="4"/>
        <v>木</v>
      </c>
      <c r="D51" s="7" t="str">
        <f>IF(B51="","",IF(COUNTIF(休館日・祝日!$B:$B,$B51)&gt;=1,"休館日",IF(E51="利用申込のない夜間閉館","★18時閉館",IF(C51="日","17時閉館",IF(COUNTIF(休館日・祝日!$E:$E,$B51)&gt;=1,"17時閉館","21時閉館")))))</f>
        <v>21時閉館</v>
      </c>
      <c r="E51" s="10"/>
      <c r="F51" s="147" t="str">
        <f t="shared" si="3"/>
        <v/>
      </c>
      <c r="H51" s="66"/>
    </row>
    <row r="52" spans="2:8" s="8" customFormat="1" ht="24" customHeight="1">
      <c r="B52" s="9">
        <f t="shared" si="5"/>
        <v>45786</v>
      </c>
      <c r="C52" s="7" t="str">
        <f t="shared" si="4"/>
        <v>金</v>
      </c>
      <c r="D52" s="7" t="str">
        <f>IF(B52="","",IF(COUNTIF(休館日・祝日!$B:$B,$B52)&gt;=1,"休館日",IF(E52="利用申込のない夜間閉館","★18時閉館",IF(C52="日","17時閉館",IF(COUNTIF(休館日・祝日!$E:$E,$B52)&gt;=1,"17時閉館","21時閉館")))))</f>
        <v>21時閉館</v>
      </c>
      <c r="E52" s="10"/>
      <c r="F52" s="147" t="str">
        <f t="shared" si="3"/>
        <v/>
      </c>
      <c r="H52" s="66"/>
    </row>
    <row r="53" spans="2:8" s="8" customFormat="1" ht="24" customHeight="1">
      <c r="B53" s="9">
        <f t="shared" si="5"/>
        <v>45787</v>
      </c>
      <c r="C53" s="7" t="str">
        <f t="shared" si="4"/>
        <v>土</v>
      </c>
      <c r="D53" s="7" t="str">
        <f>IF(B53="","",IF(COUNTIF(休館日・祝日!$B:$B,$B53)&gt;=1,"休館日",IF(E53="利用申込のない夜間閉館","★18時閉館",IF(C53="日","17時閉館",IF(COUNTIF(休館日・祝日!$E:$E,$B53)&gt;=1,"17時閉館","21時閉館")))))</f>
        <v>★18時閉館</v>
      </c>
      <c r="E53" s="10" t="s">
        <v>33</v>
      </c>
      <c r="F53" s="147" t="str">
        <f t="shared" si="3"/>
        <v/>
      </c>
      <c r="H53" s="66"/>
    </row>
    <row r="54" spans="2:8" s="8" customFormat="1" ht="24" customHeight="1">
      <c r="B54" s="9">
        <f t="shared" si="5"/>
        <v>45788</v>
      </c>
      <c r="C54" s="7" t="str">
        <f t="shared" si="4"/>
        <v>日</v>
      </c>
      <c r="D54" s="7" t="str">
        <f>IF(B54="","",IF(COUNTIF(休館日・祝日!$B:$B,$B54)&gt;=1,"休館日",IF(E54="利用申込のない夜間閉館","★18時閉館",IF(C54="日","17時閉館",IF(COUNTIF(休館日・祝日!$E:$E,$B54)&gt;=1,"17時閉館","21時閉館")))))</f>
        <v>17時閉館</v>
      </c>
      <c r="E54" s="10"/>
      <c r="F54" s="147" t="str">
        <f t="shared" si="3"/>
        <v>夜間閉館ではなく17時閉館</v>
      </c>
      <c r="H54" s="66"/>
    </row>
    <row r="55" spans="2:8" s="8" customFormat="1" ht="24" customHeight="1">
      <c r="B55" s="9">
        <f t="shared" si="5"/>
        <v>45789</v>
      </c>
      <c r="C55" s="7" t="str">
        <f t="shared" si="4"/>
        <v>月</v>
      </c>
      <c r="D55" s="7" t="str">
        <f>IF(B55="","",IF(COUNTIF(休館日・祝日!$B:$B,$B55)&gt;=1,"休館日",IF(E55="利用申込のない夜間閉館","★18時閉館",IF(C55="日","17時閉館",IF(COUNTIF(休館日・祝日!$E:$E,$B55)&gt;=1,"17時閉館","21時閉館")))))</f>
        <v>★18時閉館</v>
      </c>
      <c r="E55" s="10" t="s">
        <v>33</v>
      </c>
      <c r="F55" s="147" t="str">
        <f t="shared" si="3"/>
        <v/>
      </c>
      <c r="H55" s="66"/>
    </row>
    <row r="56" spans="2:8" s="8" customFormat="1" ht="24" customHeight="1">
      <c r="B56" s="9">
        <f t="shared" si="5"/>
        <v>45790</v>
      </c>
      <c r="C56" s="7" t="str">
        <f t="shared" si="4"/>
        <v>火</v>
      </c>
      <c r="D56" s="7" t="str">
        <f>IF(B56="","",IF(COUNTIF(休館日・祝日!$B:$B,$B56)&gt;=1,"休館日",IF(E56="利用申込のない夜間閉館","★18時閉館",IF(C56="日","17時閉館",IF(COUNTIF(休館日・祝日!$E:$E,$B56)&gt;=1,"17時閉館","21時閉館")))))</f>
        <v>21時閉館</v>
      </c>
      <c r="E56" s="10"/>
      <c r="F56" s="147" t="str">
        <f t="shared" si="3"/>
        <v/>
      </c>
      <c r="H56" s="66"/>
    </row>
    <row r="57" spans="2:8" s="8" customFormat="1" ht="24" customHeight="1">
      <c r="B57" s="9">
        <f t="shared" si="5"/>
        <v>45791</v>
      </c>
      <c r="C57" s="7" t="str">
        <f t="shared" si="4"/>
        <v>水</v>
      </c>
      <c r="D57" s="7" t="str">
        <f>IF(B57="","",IF(COUNTIF(休館日・祝日!$B:$B,$B57)&gt;=1,"休館日",IF(E57="利用申込のない夜間閉館","★18時閉館",IF(C57="日","17時閉館",IF(COUNTIF(休館日・祝日!$E:$E,$B57)&gt;=1,"17時閉館","21時閉館")))))</f>
        <v>21時閉館</v>
      </c>
      <c r="E57" s="10"/>
      <c r="F57" s="147" t="str">
        <f t="shared" si="3"/>
        <v/>
      </c>
      <c r="H57" s="66"/>
    </row>
    <row r="58" spans="2:8" s="8" customFormat="1" ht="24" customHeight="1">
      <c r="B58" s="9">
        <f t="shared" si="5"/>
        <v>45792</v>
      </c>
      <c r="C58" s="7" t="str">
        <f t="shared" si="4"/>
        <v>木</v>
      </c>
      <c r="D58" s="7" t="str">
        <f>IF(B58="","",IF(COUNTIF(休館日・祝日!$B:$B,$B58)&gt;=1,"休館日",IF(E58="利用申込のない夜間閉館","★18時閉館",IF(C58="日","17時閉館",IF(COUNTIF(休館日・祝日!$E:$E,$B58)&gt;=1,"17時閉館","21時閉館")))))</f>
        <v>21時閉館</v>
      </c>
      <c r="E58" s="10"/>
      <c r="F58" s="147" t="str">
        <f t="shared" si="3"/>
        <v/>
      </c>
      <c r="H58" s="66"/>
    </row>
    <row r="59" spans="2:8" s="8" customFormat="1" ht="24" customHeight="1">
      <c r="B59" s="9">
        <f t="shared" si="5"/>
        <v>45793</v>
      </c>
      <c r="C59" s="7" t="str">
        <f t="shared" si="4"/>
        <v>金</v>
      </c>
      <c r="D59" s="7" t="str">
        <f>IF(B59="","",IF(COUNTIF(休館日・祝日!$B:$B,$B59)&gt;=1,"休館日",IF(E59="利用申込のない夜間閉館","★18時閉館",IF(C59="日","17時閉館",IF(COUNTIF(休館日・祝日!$E:$E,$B59)&gt;=1,"17時閉館","21時閉館")))))</f>
        <v>21時閉館</v>
      </c>
      <c r="E59" s="10"/>
      <c r="F59" s="147" t="str">
        <f t="shared" si="3"/>
        <v/>
      </c>
      <c r="H59" s="66"/>
    </row>
    <row r="60" spans="2:8" s="8" customFormat="1" ht="24" customHeight="1">
      <c r="B60" s="9">
        <f t="shared" si="5"/>
        <v>45794</v>
      </c>
      <c r="C60" s="7" t="str">
        <f t="shared" si="4"/>
        <v>土</v>
      </c>
      <c r="D60" s="7" t="str">
        <f>IF(B60="","",IF(COUNTIF(休館日・祝日!$B:$B,$B60)&gt;=1,"休館日",IF(E60="利用申込のない夜間閉館","★18時閉館",IF(C60="日","17時閉館",IF(COUNTIF(休館日・祝日!$E:$E,$B60)&gt;=1,"17時閉館","21時閉館")))))</f>
        <v>21時閉館</v>
      </c>
      <c r="E60" s="10"/>
      <c r="F60" s="147" t="str">
        <f t="shared" si="3"/>
        <v/>
      </c>
      <c r="H60" s="66"/>
    </row>
    <row r="61" spans="2:8" s="8" customFormat="1" ht="24" customHeight="1">
      <c r="B61" s="9">
        <f t="shared" si="5"/>
        <v>45795</v>
      </c>
      <c r="C61" s="7" t="str">
        <f t="shared" si="4"/>
        <v>日</v>
      </c>
      <c r="D61" s="7" t="str">
        <f>IF(B61="","",IF(COUNTIF(休館日・祝日!$B:$B,$B61)&gt;=1,"休館日",IF(E61="利用申込のない夜間閉館","★18時閉館",IF(C61="日","17時閉館",IF(COUNTIF(休館日・祝日!$E:$E,$B61)&gt;=1,"17時閉館","21時閉館")))))</f>
        <v>17時閉館</v>
      </c>
      <c r="E61" s="10"/>
      <c r="F61" s="147" t="str">
        <f t="shared" si="3"/>
        <v>夜間閉館ではなく17時閉館</v>
      </c>
      <c r="H61" s="66"/>
    </row>
    <row r="62" spans="2:8" s="8" customFormat="1" ht="24" customHeight="1">
      <c r="B62" s="9">
        <f t="shared" si="5"/>
        <v>45796</v>
      </c>
      <c r="C62" s="7" t="str">
        <f t="shared" si="4"/>
        <v>月</v>
      </c>
      <c r="D62" s="7" t="str">
        <f>IF(B62="","",IF(COUNTIF(休館日・祝日!$B:$B,$B62)&gt;=1,"休館日",IF(E62="利用申込のない夜間閉館","★18時閉館",IF(C62="日","17時閉館",IF(COUNTIF(休館日・祝日!$E:$E,$B62)&gt;=1,"17時閉館","21時閉館")))))</f>
        <v>休館日</v>
      </c>
      <c r="E62" s="10"/>
      <c r="F62" s="147" t="str">
        <f t="shared" si="3"/>
        <v/>
      </c>
      <c r="H62" s="66"/>
    </row>
    <row r="63" spans="2:8" s="8" customFormat="1" ht="24" customHeight="1">
      <c r="B63" s="9">
        <f t="shared" si="5"/>
        <v>45797</v>
      </c>
      <c r="C63" s="7" t="str">
        <f t="shared" si="4"/>
        <v>火</v>
      </c>
      <c r="D63" s="7" t="str">
        <f>IF(B63="","",IF(COUNTIF(休館日・祝日!$B:$B,$B63)&gt;=1,"休館日",IF(E63="利用申込のない夜間閉館","★18時閉館",IF(C63="日","17時閉館",IF(COUNTIF(休館日・祝日!$E:$E,$B63)&gt;=1,"17時閉館","21時閉館")))))</f>
        <v>★18時閉館</v>
      </c>
      <c r="E63" s="10" t="s">
        <v>33</v>
      </c>
      <c r="F63" s="147" t="str">
        <f t="shared" si="3"/>
        <v/>
      </c>
      <c r="H63" s="66"/>
    </row>
    <row r="64" spans="2:8" s="8" customFormat="1" ht="24" customHeight="1">
      <c r="B64" s="9">
        <f t="shared" si="5"/>
        <v>45798</v>
      </c>
      <c r="C64" s="7" t="str">
        <f t="shared" si="4"/>
        <v>水</v>
      </c>
      <c r="D64" s="7" t="str">
        <f>IF(B64="","",IF(COUNTIF(休館日・祝日!$B:$B,$B64)&gt;=1,"休館日",IF(E64="利用申込のない夜間閉館","★18時閉館",IF(C64="日","17時閉館",IF(COUNTIF(休館日・祝日!$E:$E,$B64)&gt;=1,"17時閉館","21時閉館")))))</f>
        <v>21時閉館</v>
      </c>
      <c r="E64" s="10"/>
      <c r="F64" s="147" t="str">
        <f t="shared" si="3"/>
        <v/>
      </c>
      <c r="H64" s="66"/>
    </row>
    <row r="65" spans="2:10" s="8" customFormat="1" ht="24" customHeight="1">
      <c r="B65" s="9">
        <f t="shared" si="5"/>
        <v>45799</v>
      </c>
      <c r="C65" s="7" t="str">
        <f t="shared" si="4"/>
        <v>木</v>
      </c>
      <c r="D65" s="7" t="str">
        <f>IF(B65="","",IF(COUNTIF(休館日・祝日!$B:$B,$B65)&gt;=1,"休館日",IF(E65="利用申込のない夜間閉館","★18時閉館",IF(C65="日","17時閉館",IF(COUNTIF(休館日・祝日!$E:$E,$B65)&gt;=1,"17時閉館","21時閉館")))))</f>
        <v>21時閉館</v>
      </c>
      <c r="E65" s="10"/>
      <c r="F65" s="147" t="str">
        <f t="shared" si="3"/>
        <v/>
      </c>
      <c r="H65" s="66"/>
    </row>
    <row r="66" spans="2:10" s="8" customFormat="1" ht="24" customHeight="1">
      <c r="B66" s="9">
        <f t="shared" si="5"/>
        <v>45800</v>
      </c>
      <c r="C66" s="7" t="str">
        <f t="shared" si="4"/>
        <v>金</v>
      </c>
      <c r="D66" s="7" t="str">
        <f>IF(B66="","",IF(COUNTIF(休館日・祝日!$B:$B,$B66)&gt;=1,"休館日",IF(E66="利用申込のない夜間閉館","★18時閉館",IF(C66="日","17時閉館",IF(COUNTIF(休館日・祝日!$E:$E,$B66)&gt;=1,"17時閉館","21時閉館")))))</f>
        <v>21時閉館</v>
      </c>
      <c r="E66" s="10"/>
      <c r="F66" s="147" t="str">
        <f t="shared" si="3"/>
        <v/>
      </c>
      <c r="H66" s="66"/>
    </row>
    <row r="67" spans="2:10" s="8" customFormat="1" ht="24" customHeight="1">
      <c r="B67" s="9">
        <f t="shared" si="5"/>
        <v>45801</v>
      </c>
      <c r="C67" s="7" t="str">
        <f t="shared" si="4"/>
        <v>土</v>
      </c>
      <c r="D67" s="7" t="str">
        <f>IF(B67="","",IF(COUNTIF(休館日・祝日!$B:$B,$B67)&gt;=1,"休館日",IF(E67="利用申込のない夜間閉館","★18時閉館",IF(C67="日","17時閉館",IF(COUNTIF(休館日・祝日!$E:$E,$B67)&gt;=1,"17時閉館","21時閉館")))))</f>
        <v>★18時閉館</v>
      </c>
      <c r="E67" s="10" t="s">
        <v>33</v>
      </c>
      <c r="F67" s="147" t="str">
        <f t="shared" si="3"/>
        <v/>
      </c>
      <c r="H67" s="66"/>
    </row>
    <row r="68" spans="2:10" s="8" customFormat="1" ht="24" customHeight="1">
      <c r="B68" s="9">
        <f t="shared" si="5"/>
        <v>45802</v>
      </c>
      <c r="C68" s="7" t="str">
        <f t="shared" si="4"/>
        <v>日</v>
      </c>
      <c r="D68" s="7" t="str">
        <f>IF(B68="","",IF(COUNTIF(休館日・祝日!$B:$B,$B68)&gt;=1,"休館日",IF(E68="利用申込のない夜間閉館","★18時閉館",IF(C68="日","17時閉館",IF(COUNTIF(休館日・祝日!$E:$E,$B68)&gt;=1,"17時閉館","21時閉館")))))</f>
        <v>17時閉館</v>
      </c>
      <c r="E68" s="10"/>
      <c r="F68" s="147" t="str">
        <f t="shared" si="3"/>
        <v>夜間閉館ではなく17時閉館</v>
      </c>
      <c r="H68" s="66"/>
    </row>
    <row r="69" spans="2:10" s="8" customFormat="1" ht="24" customHeight="1">
      <c r="B69" s="9">
        <f t="shared" si="5"/>
        <v>45803</v>
      </c>
      <c r="C69" s="7" t="str">
        <f t="shared" si="4"/>
        <v>月</v>
      </c>
      <c r="D69" s="7" t="str">
        <f>IF(B69="","",IF(COUNTIF(休館日・祝日!$B:$B,$B69)&gt;=1,"休館日",IF(E69="利用申込のない夜間閉館","★18時閉館",IF(C69="日","17時閉館",IF(COUNTIF(休館日・祝日!$E:$E,$B69)&gt;=1,"17時閉館","21時閉館")))))</f>
        <v>21時閉館</v>
      </c>
      <c r="E69" s="10"/>
      <c r="F69" s="147" t="str">
        <f t="shared" si="3"/>
        <v/>
      </c>
      <c r="H69" s="66"/>
    </row>
    <row r="70" spans="2:10" s="8" customFormat="1" ht="24" customHeight="1">
      <c r="B70" s="9">
        <f t="shared" si="5"/>
        <v>45804</v>
      </c>
      <c r="C70" s="7" t="str">
        <f t="shared" si="4"/>
        <v>火</v>
      </c>
      <c r="D70" s="7" t="str">
        <f>IF(B70="","",IF(COUNTIF(休館日・祝日!$B:$B,$B70)&gt;=1,"休館日",IF(E70="利用申込のない夜間閉館","★18時閉館",IF(C70="日","17時閉館",IF(COUNTIF(休館日・祝日!$E:$E,$B70)&gt;=1,"17時閉館","21時閉館")))))</f>
        <v>21時閉館</v>
      </c>
      <c r="E70" s="10"/>
      <c r="F70" s="147" t="str">
        <f t="shared" si="3"/>
        <v/>
      </c>
      <c r="H70" s="66"/>
    </row>
    <row r="71" spans="2:10" s="8" customFormat="1" ht="24" customHeight="1">
      <c r="B71" s="9">
        <f t="shared" si="5"/>
        <v>45805</v>
      </c>
      <c r="C71" s="7" t="str">
        <f t="shared" si="4"/>
        <v>水</v>
      </c>
      <c r="D71" s="7" t="str">
        <f>IF(B71="","",IF(COUNTIF(休館日・祝日!$B:$B,$B71)&gt;=1,"休館日",IF(E71="利用申込のない夜間閉館","★18時閉館",IF(C71="日","17時閉館",IF(COUNTIF(休館日・祝日!$E:$E,$B71)&gt;=1,"17時閉館","21時閉館")))))</f>
        <v>21時閉館</v>
      </c>
      <c r="E71" s="10"/>
      <c r="F71" s="147" t="str">
        <f t="shared" si="3"/>
        <v/>
      </c>
      <c r="H71" s="66"/>
    </row>
    <row r="72" spans="2:10" s="8" customFormat="1" ht="24" customHeight="1">
      <c r="B72" s="9">
        <f t="shared" si="5"/>
        <v>45806</v>
      </c>
      <c r="C72" s="7" t="str">
        <f t="shared" si="4"/>
        <v>木</v>
      </c>
      <c r="D72" s="7" t="str">
        <f>IF(B72="","",IF(COUNTIF(休館日・祝日!$B:$B,$B72)&gt;=1,"休館日",IF(E72="利用申込のない夜間閉館","★18時閉館",IF(C72="日","17時閉館",IF(COUNTIF(休館日・祝日!$E:$E,$B72)&gt;=1,"17時閉館","21時閉館")))))</f>
        <v>★18時閉館</v>
      </c>
      <c r="E72" s="10" t="s">
        <v>33</v>
      </c>
      <c r="F72" s="147" t="str">
        <f t="shared" si="3"/>
        <v/>
      </c>
      <c r="H72" s="66"/>
    </row>
    <row r="73" spans="2:10" s="8" customFormat="1" ht="24" customHeight="1">
      <c r="B73" s="9">
        <f t="shared" si="5"/>
        <v>45807</v>
      </c>
      <c r="C73" s="7" t="str">
        <f t="shared" si="4"/>
        <v>金</v>
      </c>
      <c r="D73" s="7" t="str">
        <f>IF(B73="","",IF(COUNTIF(休館日・祝日!$B:$B,$B73)&gt;=1,"休館日",IF(E73="利用申込のない夜間閉館","★18時閉館",IF(C73="日","17時閉館",IF(COUNTIF(休館日・祝日!$E:$E,$B73)&gt;=1,"17時閉館","21時閉館")))))</f>
        <v>21時閉館</v>
      </c>
      <c r="E73" s="10"/>
      <c r="F73" s="147" t="str">
        <f t="shared" si="3"/>
        <v/>
      </c>
      <c r="H73" s="66"/>
    </row>
    <row r="74" spans="2:10" s="8" customFormat="1" ht="24" customHeight="1">
      <c r="B74" s="9">
        <f t="shared" si="5"/>
        <v>45808</v>
      </c>
      <c r="C74" s="7" t="str">
        <f t="shared" si="4"/>
        <v>土</v>
      </c>
      <c r="D74" s="7" t="str">
        <f>IF(B74="","",IF(COUNTIF(休館日・祝日!$B:$B,$B74)&gt;=1,"休館日",IF(E74="利用申込のない夜間閉館","★18時閉館",IF(C74="日","17時閉館",IF(COUNTIF(休館日・祝日!$E:$E,$B74)&gt;=1,"17時閉館","21時閉館")))))</f>
        <v>★18時閉館</v>
      </c>
      <c r="E74" s="10" t="s">
        <v>33</v>
      </c>
      <c r="F74" s="147" t="str">
        <f t="shared" si="3"/>
        <v/>
      </c>
      <c r="H74" s="66"/>
    </row>
    <row r="75" spans="2:10" ht="24" customHeight="1" thickBot="1"/>
    <row r="76" spans="2:10" ht="24" customHeight="1" thickBot="1">
      <c r="B76" s="72">
        <f>$B$1</f>
        <v>2025</v>
      </c>
      <c r="C76" s="4" t="s">
        <v>9</v>
      </c>
      <c r="F76" s="145" t="s">
        <v>0</v>
      </c>
      <c r="H76" s="21">
        <f>B77</f>
        <v>6</v>
      </c>
      <c r="I76" s="21" t="s">
        <v>28</v>
      </c>
    </row>
    <row r="77" spans="2:10" ht="24" customHeight="1" thickBot="1">
      <c r="B77" s="5">
        <v>6</v>
      </c>
      <c r="C77" s="4" t="s">
        <v>25</v>
      </c>
      <c r="H77" s="22" t="s">
        <v>33</v>
      </c>
      <c r="I77" s="22">
        <f>COUNTIF(E82:E112,H77)</f>
        <v>10</v>
      </c>
      <c r="J77" s="4" t="s">
        <v>51</v>
      </c>
    </row>
    <row r="78" spans="2:10" ht="24" customHeight="1">
      <c r="B78" s="6" t="s">
        <v>26</v>
      </c>
      <c r="F78" s="144"/>
    </row>
    <row r="79" spans="2:10" ht="26.25" customHeight="1">
      <c r="B79" s="4" t="s">
        <v>27</v>
      </c>
      <c r="F79" s="144"/>
    </row>
    <row r="80" spans="2:10" ht="26.25" customHeight="1">
      <c r="F80" s="144"/>
    </row>
    <row r="81" spans="2:6" s="8" customFormat="1" ht="36.75" customHeight="1">
      <c r="B81" s="151"/>
      <c r="C81" s="152"/>
      <c r="D81" s="60" t="s">
        <v>39</v>
      </c>
      <c r="E81" s="58" t="s">
        <v>38</v>
      </c>
      <c r="F81" s="146" t="s">
        <v>30</v>
      </c>
    </row>
    <row r="82" spans="2:6" s="8" customFormat="1" ht="24" customHeight="1">
      <c r="B82" s="9">
        <f>DATE(B76,B77,1)</f>
        <v>45809</v>
      </c>
      <c r="C82" s="7" t="str">
        <f>TEXT(B82,"aaa")</f>
        <v>日</v>
      </c>
      <c r="D82" s="7" t="str">
        <f>IF(B82="","",IF(COUNTIF(休館日・祝日!$B:$B,$B82)&gt;=1,"休館日",IF(E82="利用申込のない夜間閉館","★18時閉館",IF(C82="日","17時閉館",IF(COUNTIF(休館日・祝日!$E:$E,$B82)&gt;=1,"17時閉館","21時閉館")))))</f>
        <v>17時閉館</v>
      </c>
      <c r="E82" s="10"/>
      <c r="F82" s="147" t="str">
        <f t="shared" ref="F82:F112" si="6">IF(D82="17時閉館","夜間閉館ではなく17時閉館","")</f>
        <v>夜間閉館ではなく17時閉館</v>
      </c>
    </row>
    <row r="83" spans="2:6" s="8" customFormat="1" ht="24" customHeight="1">
      <c r="B83" s="9">
        <f>IF(B82="","",IF(MONTH(B82+1)=$B$77,B82+1,""))</f>
        <v>45810</v>
      </c>
      <c r="C83" s="7" t="str">
        <f t="shared" ref="C83:C112" si="7">TEXT(B83,"aaa")</f>
        <v>月</v>
      </c>
      <c r="D83" s="7" t="str">
        <f>IF(B83="","",IF(COUNTIF(休館日・祝日!$B:$B,$B83)&gt;=1,"休館日",IF(E83="利用申込のない夜間閉館","★18時閉館",IF(C83="日","17時閉館",IF(COUNTIF(休館日・祝日!$E:$E,$B83)&gt;=1,"17時閉館","21時閉館")))))</f>
        <v>★18時閉館</v>
      </c>
      <c r="E83" s="10" t="s">
        <v>33</v>
      </c>
      <c r="F83" s="147" t="str">
        <f t="shared" si="6"/>
        <v/>
      </c>
    </row>
    <row r="84" spans="2:6" s="8" customFormat="1" ht="24" customHeight="1">
      <c r="B84" s="9">
        <f t="shared" ref="B84:B112" si="8">IF(B83="","",IF(MONTH(B83+1)=$B$77,B83+1,""))</f>
        <v>45811</v>
      </c>
      <c r="C84" s="7" t="str">
        <f t="shared" si="7"/>
        <v>火</v>
      </c>
      <c r="D84" s="7" t="str">
        <f>IF(B84="","",IF(COUNTIF(休館日・祝日!$B:$B,$B84)&gt;=1,"休館日",IF(E84="利用申込のない夜間閉館","★18時閉館",IF(C84="日","17時閉館",IF(COUNTIF(休館日・祝日!$E:$E,$B84)&gt;=1,"17時閉館","21時閉館")))))</f>
        <v>★18時閉館</v>
      </c>
      <c r="E84" s="10" t="s">
        <v>33</v>
      </c>
      <c r="F84" s="147" t="str">
        <f t="shared" si="6"/>
        <v/>
      </c>
    </row>
    <row r="85" spans="2:6" s="8" customFormat="1" ht="24" customHeight="1">
      <c r="B85" s="9">
        <f t="shared" si="8"/>
        <v>45812</v>
      </c>
      <c r="C85" s="7" t="str">
        <f t="shared" si="7"/>
        <v>水</v>
      </c>
      <c r="D85" s="7" t="str">
        <f>IF(B85="","",IF(COUNTIF(休館日・祝日!$B:$B,$B85)&gt;=1,"休館日",IF(E85="利用申込のない夜間閉館","★18時閉館",IF(C85="日","17時閉館",IF(COUNTIF(休館日・祝日!$E:$E,$B85)&gt;=1,"17時閉館","21時閉館")))))</f>
        <v>21時閉館</v>
      </c>
      <c r="E85" s="10"/>
      <c r="F85" s="147" t="str">
        <f t="shared" si="6"/>
        <v/>
      </c>
    </row>
    <row r="86" spans="2:6" s="8" customFormat="1" ht="24" customHeight="1">
      <c r="B86" s="9">
        <f t="shared" si="8"/>
        <v>45813</v>
      </c>
      <c r="C86" s="7" t="str">
        <f t="shared" si="7"/>
        <v>木</v>
      </c>
      <c r="D86" s="7" t="str">
        <f>IF(B86="","",IF(COUNTIF(休館日・祝日!$B:$B,$B86)&gt;=1,"休館日",IF(E86="利用申込のない夜間閉館","★18時閉館",IF(C86="日","17時閉館",IF(COUNTIF(休館日・祝日!$E:$E,$B86)&gt;=1,"17時閉館","21時閉館")))))</f>
        <v>★18時閉館</v>
      </c>
      <c r="E86" s="10" t="s">
        <v>33</v>
      </c>
      <c r="F86" s="147" t="str">
        <f t="shared" si="6"/>
        <v/>
      </c>
    </row>
    <row r="87" spans="2:6" s="8" customFormat="1" ht="24" customHeight="1">
      <c r="B87" s="9">
        <f t="shared" si="8"/>
        <v>45814</v>
      </c>
      <c r="C87" s="7" t="str">
        <f t="shared" si="7"/>
        <v>金</v>
      </c>
      <c r="D87" s="7" t="str">
        <f>IF(B87="","",IF(COUNTIF(休館日・祝日!$B:$B,$B87)&gt;=1,"休館日",IF(E87="利用申込のない夜間閉館","★18時閉館",IF(C87="日","17時閉館",IF(COUNTIF(休館日・祝日!$E:$E,$B87)&gt;=1,"17時閉館","21時閉館")))))</f>
        <v>21時閉館</v>
      </c>
      <c r="E87" s="10"/>
      <c r="F87" s="147" t="str">
        <f t="shared" si="6"/>
        <v/>
      </c>
    </row>
    <row r="88" spans="2:6" s="8" customFormat="1" ht="24" customHeight="1">
      <c r="B88" s="9">
        <f t="shared" si="8"/>
        <v>45815</v>
      </c>
      <c r="C88" s="7" t="str">
        <f t="shared" si="7"/>
        <v>土</v>
      </c>
      <c r="D88" s="7" t="str">
        <f>IF(B88="","",IF(COUNTIF(休館日・祝日!$B:$B,$B88)&gt;=1,"休館日",IF(E88="利用申込のない夜間閉館","★18時閉館",IF(C88="日","17時閉館",IF(COUNTIF(休館日・祝日!$E:$E,$B88)&gt;=1,"17時閉館","21時閉館")))))</f>
        <v>★18時閉館</v>
      </c>
      <c r="E88" s="10" t="s">
        <v>33</v>
      </c>
      <c r="F88" s="147" t="str">
        <f t="shared" si="6"/>
        <v/>
      </c>
    </row>
    <row r="89" spans="2:6" s="8" customFormat="1" ht="24" customHeight="1">
      <c r="B89" s="9">
        <f t="shared" si="8"/>
        <v>45816</v>
      </c>
      <c r="C89" s="7" t="str">
        <f t="shared" si="7"/>
        <v>日</v>
      </c>
      <c r="D89" s="7" t="str">
        <f>IF(B89="","",IF(COUNTIF(休館日・祝日!$B:$B,$B89)&gt;=1,"休館日",IF(E89="利用申込のない夜間閉館","★18時閉館",IF(C89="日","17時閉館",IF(COUNTIF(休館日・祝日!$E:$E,$B89)&gt;=1,"17時閉館","21時閉館")))))</f>
        <v>17時閉館</v>
      </c>
      <c r="E89" s="10"/>
      <c r="F89" s="147" t="str">
        <f t="shared" si="6"/>
        <v>夜間閉館ではなく17時閉館</v>
      </c>
    </row>
    <row r="90" spans="2:6" s="8" customFormat="1" ht="24" customHeight="1">
      <c r="B90" s="9">
        <f t="shared" si="8"/>
        <v>45817</v>
      </c>
      <c r="C90" s="7" t="str">
        <f t="shared" si="7"/>
        <v>月</v>
      </c>
      <c r="D90" s="7" t="str">
        <f>IF(B90="","",IF(COUNTIF(休館日・祝日!$B:$B,$B90)&gt;=1,"休館日",IF(E90="利用申込のない夜間閉館","★18時閉館",IF(C90="日","17時閉館",IF(COUNTIF(休館日・祝日!$E:$E,$B90)&gt;=1,"17時閉館","21時閉館")))))</f>
        <v>★18時閉館</v>
      </c>
      <c r="E90" s="10" t="s">
        <v>33</v>
      </c>
      <c r="F90" s="147" t="str">
        <f t="shared" si="6"/>
        <v/>
      </c>
    </row>
    <row r="91" spans="2:6" s="8" customFormat="1" ht="24" customHeight="1">
      <c r="B91" s="9">
        <f t="shared" si="8"/>
        <v>45818</v>
      </c>
      <c r="C91" s="7" t="str">
        <f t="shared" si="7"/>
        <v>火</v>
      </c>
      <c r="D91" s="7" t="str">
        <f>IF(B91="","",IF(COUNTIF(休館日・祝日!$B:$B,$B91)&gt;=1,"休館日",IF(E91="利用申込のない夜間閉館","★18時閉館",IF(C91="日","17時閉館",IF(COUNTIF(休館日・祝日!$E:$E,$B91)&gt;=1,"17時閉館","21時閉館")))))</f>
        <v>21時閉館</v>
      </c>
      <c r="E91" s="10"/>
      <c r="F91" s="147" t="str">
        <f t="shared" si="6"/>
        <v/>
      </c>
    </row>
    <row r="92" spans="2:6" s="8" customFormat="1" ht="24" customHeight="1">
      <c r="B92" s="9">
        <f t="shared" si="8"/>
        <v>45819</v>
      </c>
      <c r="C92" s="7" t="str">
        <f t="shared" si="7"/>
        <v>水</v>
      </c>
      <c r="D92" s="7" t="str">
        <f>IF(B92="","",IF(COUNTIF(休館日・祝日!$B:$B,$B92)&gt;=1,"休館日",IF(E92="利用申込のない夜間閉館","★18時閉館",IF(C92="日","17時閉館",IF(COUNTIF(休館日・祝日!$E:$E,$B92)&gt;=1,"17時閉館","21時閉館")))))</f>
        <v>21時閉館</v>
      </c>
      <c r="E92" s="10"/>
      <c r="F92" s="147" t="str">
        <f t="shared" si="6"/>
        <v/>
      </c>
    </row>
    <row r="93" spans="2:6" s="8" customFormat="1" ht="24" customHeight="1">
      <c r="B93" s="9">
        <f t="shared" si="8"/>
        <v>45820</v>
      </c>
      <c r="C93" s="7" t="str">
        <f t="shared" si="7"/>
        <v>木</v>
      </c>
      <c r="D93" s="7" t="str">
        <f>IF(B93="","",IF(COUNTIF(休館日・祝日!$B:$B,$B93)&gt;=1,"休館日",IF(E93="利用申込のない夜間閉館","★18時閉館",IF(C93="日","17時閉館",IF(COUNTIF(休館日・祝日!$E:$E,$B93)&gt;=1,"17時閉館","21時閉館")))))</f>
        <v>★18時閉館</v>
      </c>
      <c r="E93" s="10" t="s">
        <v>33</v>
      </c>
      <c r="F93" s="147" t="str">
        <f t="shared" si="6"/>
        <v/>
      </c>
    </row>
    <row r="94" spans="2:6" s="8" customFormat="1" ht="24" customHeight="1">
      <c r="B94" s="9">
        <f t="shared" si="8"/>
        <v>45821</v>
      </c>
      <c r="C94" s="7" t="str">
        <f t="shared" si="7"/>
        <v>金</v>
      </c>
      <c r="D94" s="7" t="str">
        <f>IF(B94="","",IF(COUNTIF(休館日・祝日!$B:$B,$B94)&gt;=1,"休館日",IF(E94="利用申込のない夜間閉館","★18時閉館",IF(C94="日","17時閉館",IF(COUNTIF(休館日・祝日!$E:$E,$B94)&gt;=1,"17時閉館","21時閉館")))))</f>
        <v>21時閉館</v>
      </c>
      <c r="E94" s="10"/>
      <c r="F94" s="147" t="str">
        <f t="shared" si="6"/>
        <v/>
      </c>
    </row>
    <row r="95" spans="2:6" s="8" customFormat="1" ht="24" customHeight="1">
      <c r="B95" s="9">
        <f t="shared" si="8"/>
        <v>45822</v>
      </c>
      <c r="C95" s="7" t="str">
        <f t="shared" si="7"/>
        <v>土</v>
      </c>
      <c r="D95" s="7" t="str">
        <f>IF(B95="","",IF(COUNTIF(休館日・祝日!$B:$B,$B95)&gt;=1,"休館日",IF(E95="利用申込のない夜間閉館","★18時閉館",IF(C95="日","17時閉館",IF(COUNTIF(休館日・祝日!$E:$E,$B95)&gt;=1,"17時閉館","21時閉館")))))</f>
        <v>21時閉館</v>
      </c>
      <c r="E95" s="10"/>
      <c r="F95" s="147" t="str">
        <f t="shared" si="6"/>
        <v/>
      </c>
    </row>
    <row r="96" spans="2:6" s="8" customFormat="1" ht="24" customHeight="1">
      <c r="B96" s="9">
        <f t="shared" si="8"/>
        <v>45823</v>
      </c>
      <c r="C96" s="7" t="str">
        <f t="shared" si="7"/>
        <v>日</v>
      </c>
      <c r="D96" s="7" t="str">
        <f>IF(B96="","",IF(COUNTIF(休館日・祝日!$B:$B,$B96)&gt;=1,"休館日",IF(E96="利用申込のない夜間閉館","★18時閉館",IF(C96="日","17時閉館",IF(COUNTIF(休館日・祝日!$E:$E,$B96)&gt;=1,"17時閉館","21時閉館")))))</f>
        <v>17時閉館</v>
      </c>
      <c r="E96" s="10"/>
      <c r="F96" s="147" t="str">
        <f t="shared" si="6"/>
        <v>夜間閉館ではなく17時閉館</v>
      </c>
    </row>
    <row r="97" spans="2:6" s="8" customFormat="1" ht="24" customHeight="1">
      <c r="B97" s="9">
        <f t="shared" si="8"/>
        <v>45824</v>
      </c>
      <c r="C97" s="7" t="str">
        <f t="shared" si="7"/>
        <v>月</v>
      </c>
      <c r="D97" s="7" t="str">
        <f>IF(B97="","",IF(COUNTIF(休館日・祝日!$B:$B,$B97)&gt;=1,"休館日",IF(E97="利用申込のない夜間閉館","★18時閉館",IF(C97="日","17時閉館",IF(COUNTIF(休館日・祝日!$E:$E,$B97)&gt;=1,"17時閉館","21時閉館")))))</f>
        <v>休館日</v>
      </c>
      <c r="E97" s="10"/>
      <c r="F97" s="147" t="str">
        <f t="shared" si="6"/>
        <v/>
      </c>
    </row>
    <row r="98" spans="2:6" s="8" customFormat="1" ht="24" customHeight="1">
      <c r="B98" s="9">
        <f t="shared" si="8"/>
        <v>45825</v>
      </c>
      <c r="C98" s="7" t="str">
        <f t="shared" si="7"/>
        <v>火</v>
      </c>
      <c r="D98" s="7" t="str">
        <f>IF(B98="","",IF(COUNTIF(休館日・祝日!$B:$B,$B98)&gt;=1,"休館日",IF(E98="利用申込のない夜間閉館","★18時閉館",IF(C98="日","17時閉館",IF(COUNTIF(休館日・祝日!$E:$E,$B98)&gt;=1,"17時閉館","21時閉館")))))</f>
        <v>★18時閉館</v>
      </c>
      <c r="E98" s="10" t="s">
        <v>33</v>
      </c>
      <c r="F98" s="147" t="str">
        <f t="shared" si="6"/>
        <v/>
      </c>
    </row>
    <row r="99" spans="2:6" s="8" customFormat="1" ht="24" customHeight="1">
      <c r="B99" s="9">
        <f t="shared" si="8"/>
        <v>45826</v>
      </c>
      <c r="C99" s="7" t="str">
        <f t="shared" si="7"/>
        <v>水</v>
      </c>
      <c r="D99" s="7" t="str">
        <f>IF(B99="","",IF(COUNTIF(休館日・祝日!$B:$B,$B99)&gt;=1,"休館日",IF(E99="利用申込のない夜間閉館","★18時閉館",IF(C99="日","17時閉館",IF(COUNTIF(休館日・祝日!$E:$E,$B99)&gt;=1,"17時閉館","21時閉館")))))</f>
        <v>21時閉館</v>
      </c>
      <c r="E99" s="10"/>
      <c r="F99" s="147" t="str">
        <f t="shared" si="6"/>
        <v/>
      </c>
    </row>
    <row r="100" spans="2:6" s="8" customFormat="1" ht="24" customHeight="1">
      <c r="B100" s="9">
        <f t="shared" si="8"/>
        <v>45827</v>
      </c>
      <c r="C100" s="7" t="str">
        <f t="shared" si="7"/>
        <v>木</v>
      </c>
      <c r="D100" s="7" t="str">
        <f>IF(B100="","",IF(COUNTIF(休館日・祝日!$B:$B,$B100)&gt;=1,"休館日",IF(E100="利用申込のない夜間閉館","★18時閉館",IF(C100="日","17時閉館",IF(COUNTIF(休館日・祝日!$E:$E,$B100)&gt;=1,"17時閉館","21時閉館")))))</f>
        <v>21時閉館</v>
      </c>
      <c r="E100" s="10"/>
      <c r="F100" s="147" t="str">
        <f t="shared" si="6"/>
        <v/>
      </c>
    </row>
    <row r="101" spans="2:6" s="8" customFormat="1" ht="24" customHeight="1">
      <c r="B101" s="9">
        <f t="shared" si="8"/>
        <v>45828</v>
      </c>
      <c r="C101" s="7" t="str">
        <f t="shared" si="7"/>
        <v>金</v>
      </c>
      <c r="D101" s="7" t="str">
        <f>IF(B101="","",IF(COUNTIF(休館日・祝日!$B:$B,$B101)&gt;=1,"休館日",IF(E101="利用申込のない夜間閉館","★18時閉館",IF(C101="日","17時閉館",IF(COUNTIF(休館日・祝日!$E:$E,$B101)&gt;=1,"17時閉館","21時閉館")))))</f>
        <v>21時閉館</v>
      </c>
      <c r="E101" s="10"/>
      <c r="F101" s="147" t="str">
        <f t="shared" si="6"/>
        <v/>
      </c>
    </row>
    <row r="102" spans="2:6" s="8" customFormat="1" ht="24" customHeight="1">
      <c r="B102" s="9">
        <f t="shared" si="8"/>
        <v>45829</v>
      </c>
      <c r="C102" s="7" t="str">
        <f t="shared" si="7"/>
        <v>土</v>
      </c>
      <c r="D102" s="7" t="str">
        <f>IF(B102="","",IF(COUNTIF(休館日・祝日!$B:$B,$B102)&gt;=1,"休館日",IF(E102="利用申込のない夜間閉館","★18時閉館",IF(C102="日","17時閉館",IF(COUNTIF(休館日・祝日!$E:$E,$B102)&gt;=1,"17時閉館","21時閉館")))))</f>
        <v>21時閉館</v>
      </c>
      <c r="E102" s="10"/>
      <c r="F102" s="147" t="str">
        <f t="shared" si="6"/>
        <v/>
      </c>
    </row>
    <row r="103" spans="2:6" s="8" customFormat="1" ht="24" customHeight="1">
      <c r="B103" s="9">
        <f t="shared" si="8"/>
        <v>45830</v>
      </c>
      <c r="C103" s="7" t="str">
        <f t="shared" si="7"/>
        <v>日</v>
      </c>
      <c r="D103" s="7" t="str">
        <f>IF(B103="","",IF(COUNTIF(休館日・祝日!$B:$B,$B103)&gt;=1,"休館日",IF(E103="利用申込のない夜間閉館","★18時閉館",IF(C103="日","17時閉館",IF(COUNTIF(休館日・祝日!$E:$E,$B103)&gt;=1,"17時閉館","21時閉館")))))</f>
        <v>17時閉館</v>
      </c>
      <c r="E103" s="10"/>
      <c r="F103" s="147" t="str">
        <f t="shared" si="6"/>
        <v>夜間閉館ではなく17時閉館</v>
      </c>
    </row>
    <row r="104" spans="2:6" s="8" customFormat="1" ht="24" customHeight="1">
      <c r="B104" s="9">
        <f t="shared" si="8"/>
        <v>45831</v>
      </c>
      <c r="C104" s="7" t="str">
        <f t="shared" si="7"/>
        <v>月</v>
      </c>
      <c r="D104" s="7" t="str">
        <f>IF(B104="","",IF(COUNTIF(休館日・祝日!$B:$B,$B104)&gt;=1,"休館日",IF(E104="利用申込のない夜間閉館","★18時閉館",IF(C104="日","17時閉館",IF(COUNTIF(休館日・祝日!$E:$E,$B104)&gt;=1,"17時閉館","21時閉館")))))</f>
        <v>★18時閉館</v>
      </c>
      <c r="E104" s="10" t="s">
        <v>33</v>
      </c>
      <c r="F104" s="147" t="str">
        <f t="shared" si="6"/>
        <v/>
      </c>
    </row>
    <row r="105" spans="2:6" s="8" customFormat="1" ht="24" customHeight="1">
      <c r="B105" s="9">
        <f t="shared" si="8"/>
        <v>45832</v>
      </c>
      <c r="C105" s="7" t="str">
        <f t="shared" si="7"/>
        <v>火</v>
      </c>
      <c r="D105" s="7" t="str">
        <f>IF(B105="","",IF(COUNTIF(休館日・祝日!$B:$B,$B105)&gt;=1,"休館日",IF(E105="利用申込のない夜間閉館","★18時閉館",IF(C105="日","17時閉館",IF(COUNTIF(休館日・祝日!$E:$E,$B105)&gt;=1,"17時閉館","21時閉館")))))</f>
        <v>21時閉館</v>
      </c>
      <c r="E105" s="10"/>
      <c r="F105" s="147" t="str">
        <f t="shared" si="6"/>
        <v/>
      </c>
    </row>
    <row r="106" spans="2:6" s="8" customFormat="1" ht="24" customHeight="1">
      <c r="B106" s="9">
        <f t="shared" si="8"/>
        <v>45833</v>
      </c>
      <c r="C106" s="7" t="str">
        <f t="shared" si="7"/>
        <v>水</v>
      </c>
      <c r="D106" s="7" t="str">
        <f>IF(B106="","",IF(COUNTIF(休館日・祝日!$B:$B,$B106)&gt;=1,"休館日",IF(E106="利用申込のない夜間閉館","★18時閉館",IF(C106="日","17時閉館",IF(COUNTIF(休館日・祝日!$E:$E,$B106)&gt;=1,"17時閉館","21時閉館")))))</f>
        <v>21時閉館</v>
      </c>
      <c r="E106" s="10"/>
      <c r="F106" s="147" t="str">
        <f t="shared" si="6"/>
        <v/>
      </c>
    </row>
    <row r="107" spans="2:6" s="8" customFormat="1" ht="24" customHeight="1">
      <c r="B107" s="9">
        <f t="shared" si="8"/>
        <v>45834</v>
      </c>
      <c r="C107" s="7" t="str">
        <f t="shared" si="7"/>
        <v>木</v>
      </c>
      <c r="D107" s="7" t="str">
        <f>IF(B107="","",IF(COUNTIF(休館日・祝日!$B:$B,$B107)&gt;=1,"休館日",IF(E107="利用申込のない夜間閉館","★18時閉館",IF(C107="日","17時閉館",IF(COUNTIF(休館日・祝日!$E:$E,$B107)&gt;=1,"17時閉館","21時閉館")))))</f>
        <v>★18時閉館</v>
      </c>
      <c r="E107" s="10" t="s">
        <v>33</v>
      </c>
      <c r="F107" s="147" t="str">
        <f t="shared" si="6"/>
        <v/>
      </c>
    </row>
    <row r="108" spans="2:6" s="8" customFormat="1" ht="24" customHeight="1">
      <c r="B108" s="9">
        <f t="shared" si="8"/>
        <v>45835</v>
      </c>
      <c r="C108" s="7" t="str">
        <f t="shared" si="7"/>
        <v>金</v>
      </c>
      <c r="D108" s="7" t="str">
        <f>IF(B108="","",IF(COUNTIF(休館日・祝日!$B:$B,$B108)&gt;=1,"休館日",IF(E108="利用申込のない夜間閉館","★18時閉館",IF(C108="日","17時閉館",IF(COUNTIF(休館日・祝日!$E:$E,$B108)&gt;=1,"17時閉館","21時閉館")))))</f>
        <v>21時閉館</v>
      </c>
      <c r="E108" s="10"/>
      <c r="F108" s="147" t="str">
        <f t="shared" si="6"/>
        <v/>
      </c>
    </row>
    <row r="109" spans="2:6" s="8" customFormat="1" ht="24" customHeight="1">
      <c r="B109" s="9">
        <f t="shared" si="8"/>
        <v>45836</v>
      </c>
      <c r="C109" s="7" t="str">
        <f t="shared" si="7"/>
        <v>土</v>
      </c>
      <c r="D109" s="7" t="str">
        <f>IF(B109="","",IF(COUNTIF(休館日・祝日!$B:$B,$B109)&gt;=1,"休館日",IF(E109="利用申込のない夜間閉館","★18時閉館",IF(C109="日","17時閉館",IF(COUNTIF(休館日・祝日!$E:$E,$B109)&gt;=1,"17時閉館","21時閉館")))))</f>
        <v>★18時閉館</v>
      </c>
      <c r="E109" s="10" t="s">
        <v>33</v>
      </c>
      <c r="F109" s="147" t="str">
        <f t="shared" si="6"/>
        <v/>
      </c>
    </row>
    <row r="110" spans="2:6" s="8" customFormat="1" ht="24" customHeight="1">
      <c r="B110" s="9">
        <f t="shared" si="8"/>
        <v>45837</v>
      </c>
      <c r="C110" s="7" t="str">
        <f t="shared" si="7"/>
        <v>日</v>
      </c>
      <c r="D110" s="7" t="str">
        <f>IF(B110="","",IF(COUNTIF(休館日・祝日!$B:$B,$B110)&gt;=1,"休館日",IF(E110="利用申込のない夜間閉館","★18時閉館",IF(C110="日","17時閉館",IF(COUNTIF(休館日・祝日!$E:$E,$B110)&gt;=1,"17時閉館","21時閉館")))))</f>
        <v>17時閉館</v>
      </c>
      <c r="E110" s="10"/>
      <c r="F110" s="147" t="str">
        <f t="shared" si="6"/>
        <v>夜間閉館ではなく17時閉館</v>
      </c>
    </row>
    <row r="111" spans="2:6" s="8" customFormat="1" ht="24" customHeight="1">
      <c r="B111" s="9">
        <f>IF(B110="","",IF(MONTH(B110+1)=$B$77,B110+1,""))</f>
        <v>45838</v>
      </c>
      <c r="C111" s="7" t="str">
        <f t="shared" si="7"/>
        <v>月</v>
      </c>
      <c r="D111" s="7" t="str">
        <f>IF(B111="","",IF(COUNTIF(休館日・祝日!$B:$B,$B111)&gt;=1,"休館日",IF(E111="利用申込のない夜間閉館","★18時閉館",IF(C111="日","17時閉館",IF(COUNTIF(休館日・祝日!$E:$E,$B111)&gt;=1,"17時閉館","21時閉館")))))</f>
        <v>21時閉館</v>
      </c>
      <c r="E111" s="10"/>
      <c r="F111" s="147" t="str">
        <f t="shared" si="6"/>
        <v/>
      </c>
    </row>
    <row r="112" spans="2:6" s="8" customFormat="1" ht="24" customHeight="1">
      <c r="B112" s="9" t="str">
        <f t="shared" si="8"/>
        <v/>
      </c>
      <c r="C112" s="7" t="str">
        <f t="shared" si="7"/>
        <v/>
      </c>
      <c r="D112" s="7" t="str">
        <f>IF(B112="","",IF(COUNTIF(休館日・祝日!$B:$B,$B112)&gt;=1,"休館日",IF(E112="利用申込のない夜間閉館","★18時閉館",IF(C112="日","17時閉館",IF(COUNTIF(休館日・祝日!$E:$E,$B112)&gt;=1,"17時閉館","21時閉館")))))</f>
        <v/>
      </c>
      <c r="E112" s="10" t="str">
        <f>IF(B112="","",IF(OR(#REF!&lt;&gt;"",#REF!&lt;&gt;"",#REF!&lt;&gt;"",#REF!&lt;&gt;"",#REF!&lt;&gt;""),"開館",IF(C112="日","その他閉館",IF(COUNTIF(休館日・祝日!$B:$B,$B112)+COUNTIF(休館日・祝日!$E:$E,$B112)&gt;=1,"その他閉館","申込無し閉館"))))</f>
        <v/>
      </c>
      <c r="F112" s="147" t="str">
        <f t="shared" si="6"/>
        <v/>
      </c>
    </row>
    <row r="113" spans="2:10" ht="24" customHeight="1" thickBot="1"/>
    <row r="114" spans="2:10" ht="24" customHeight="1" thickBot="1">
      <c r="B114" s="72">
        <f>$B$1</f>
        <v>2025</v>
      </c>
      <c r="C114" s="4" t="s">
        <v>9</v>
      </c>
      <c r="F114" s="145" t="s">
        <v>0</v>
      </c>
      <c r="H114" s="21">
        <f>B115</f>
        <v>7</v>
      </c>
      <c r="I114" s="21" t="s">
        <v>28</v>
      </c>
    </row>
    <row r="115" spans="2:10" ht="24" customHeight="1" thickBot="1">
      <c r="B115" s="5">
        <v>7</v>
      </c>
      <c r="C115" s="4" t="s">
        <v>25</v>
      </c>
      <c r="H115" s="22" t="s">
        <v>33</v>
      </c>
      <c r="I115" s="22">
        <f>COUNTIF(E120:E150,H115)</f>
        <v>9</v>
      </c>
      <c r="J115" s="4" t="s">
        <v>51</v>
      </c>
    </row>
    <row r="116" spans="2:10" ht="24" customHeight="1">
      <c r="B116" s="6" t="s">
        <v>26</v>
      </c>
      <c r="F116" s="144"/>
    </row>
    <row r="117" spans="2:10" ht="26.25" customHeight="1">
      <c r="B117" s="4" t="s">
        <v>27</v>
      </c>
      <c r="F117" s="144"/>
    </row>
    <row r="118" spans="2:10" ht="26.25" customHeight="1">
      <c r="F118" s="144"/>
    </row>
    <row r="119" spans="2:10" s="8" customFormat="1" ht="36.75" customHeight="1">
      <c r="B119" s="151"/>
      <c r="C119" s="152"/>
      <c r="D119" s="60" t="s">
        <v>39</v>
      </c>
      <c r="E119" s="58" t="s">
        <v>38</v>
      </c>
      <c r="F119" s="146" t="s">
        <v>30</v>
      </c>
    </row>
    <row r="120" spans="2:10" s="8" customFormat="1" ht="24" customHeight="1">
      <c r="B120" s="9">
        <f>DATE(B114,B115,1)</f>
        <v>45839</v>
      </c>
      <c r="C120" s="7" t="str">
        <f>TEXT(B120,"aaa")</f>
        <v>火</v>
      </c>
      <c r="D120" s="7" t="str">
        <f>IF(B120="","",IF(COUNTIF(休館日・祝日!$B:$B,$B120)&gt;=1,"休館日",IF(E120="利用申込のない夜間閉館","★18時閉館",IF(C120="日","17時閉館",IF(COUNTIF(休館日・祝日!$E:$E,$B120)&gt;=1,"17時閉館","21時閉館")))))</f>
        <v>★18時閉館</v>
      </c>
      <c r="E120" s="10" t="s">
        <v>33</v>
      </c>
      <c r="F120" s="147" t="str">
        <f t="shared" ref="F120:F150" si="9">IF(D120="17時閉館","夜間閉館ではなく17時閉館","")</f>
        <v/>
      </c>
    </row>
    <row r="121" spans="2:10" s="8" customFormat="1" ht="24" customHeight="1">
      <c r="B121" s="9">
        <f>IF(B120="","",IF(MONTH(B120+1)=$B$115,B120+1,""))</f>
        <v>45840</v>
      </c>
      <c r="C121" s="7" t="str">
        <f t="shared" ref="C121:C150" si="10">TEXT(B121,"aaa")</f>
        <v>水</v>
      </c>
      <c r="D121" s="7" t="str">
        <f>IF(B121="","",IF(COUNTIF(休館日・祝日!$B:$B,$B121)&gt;=1,"休館日",IF(E121="利用申込のない夜間閉館","★18時閉館",IF(C121="日","17時閉館",IF(COUNTIF(休館日・祝日!$E:$E,$B121)&gt;=1,"17時閉館","21時閉館")))))</f>
        <v>21時閉館</v>
      </c>
      <c r="E121" s="10"/>
      <c r="F121" s="147" t="str">
        <f t="shared" si="9"/>
        <v/>
      </c>
    </row>
    <row r="122" spans="2:10" s="8" customFormat="1" ht="24" customHeight="1">
      <c r="B122" s="9">
        <f t="shared" ref="B122:B149" si="11">IF(B121="","",IF(MONTH(B121+1)=$B$115,B121+1,""))</f>
        <v>45841</v>
      </c>
      <c r="C122" s="7" t="str">
        <f t="shared" si="10"/>
        <v>木</v>
      </c>
      <c r="D122" s="7" t="str">
        <f>IF(B122="","",IF(COUNTIF(休館日・祝日!$B:$B,$B122)&gt;=1,"休館日",IF(E122="利用申込のない夜間閉館","★18時閉館",IF(C122="日","17時閉館",IF(COUNTIF(休館日・祝日!$E:$E,$B122)&gt;=1,"17時閉館","21時閉館")))))</f>
        <v>★18時閉館</v>
      </c>
      <c r="E122" s="10" t="s">
        <v>33</v>
      </c>
      <c r="F122" s="147" t="str">
        <f t="shared" si="9"/>
        <v/>
      </c>
    </row>
    <row r="123" spans="2:10" s="8" customFormat="1" ht="24" customHeight="1">
      <c r="B123" s="9">
        <f t="shared" si="11"/>
        <v>45842</v>
      </c>
      <c r="C123" s="7" t="str">
        <f t="shared" si="10"/>
        <v>金</v>
      </c>
      <c r="D123" s="7" t="str">
        <f>IF(B123="","",IF(COUNTIF(休館日・祝日!$B:$B,$B123)&gt;=1,"休館日",IF(E123="利用申込のない夜間閉館","★18時閉館",IF(C123="日","17時閉館",IF(COUNTIF(休館日・祝日!$E:$E,$B123)&gt;=1,"17時閉館","21時閉館")))))</f>
        <v>21時閉館</v>
      </c>
      <c r="E123" s="10"/>
      <c r="F123" s="147" t="str">
        <f t="shared" si="9"/>
        <v/>
      </c>
    </row>
    <row r="124" spans="2:10" s="8" customFormat="1" ht="24" customHeight="1">
      <c r="B124" s="9">
        <f t="shared" si="11"/>
        <v>45843</v>
      </c>
      <c r="C124" s="7" t="str">
        <f t="shared" si="10"/>
        <v>土</v>
      </c>
      <c r="D124" s="7" t="str">
        <f>IF(B124="","",IF(COUNTIF(休館日・祝日!$B:$B,$B124)&gt;=1,"休館日",IF(E124="利用申込のない夜間閉館","★18時閉館",IF(C124="日","17時閉館",IF(COUNTIF(休館日・祝日!$E:$E,$B124)&gt;=1,"17時閉館","21時閉館")))))</f>
        <v>21時閉館</v>
      </c>
      <c r="E124" s="10"/>
      <c r="F124" s="147" t="str">
        <f t="shared" si="9"/>
        <v/>
      </c>
    </row>
    <row r="125" spans="2:10" s="8" customFormat="1" ht="24" customHeight="1">
      <c r="B125" s="9">
        <f t="shared" si="11"/>
        <v>45844</v>
      </c>
      <c r="C125" s="7" t="str">
        <f t="shared" si="10"/>
        <v>日</v>
      </c>
      <c r="D125" s="7" t="str">
        <f>IF(B125="","",IF(COUNTIF(休館日・祝日!$B:$B,$B125)&gt;=1,"休館日",IF(E125="利用申込のない夜間閉館","★18時閉館",IF(C125="日","17時閉館",IF(COUNTIF(休館日・祝日!$E:$E,$B125)&gt;=1,"17時閉館","21時閉館")))))</f>
        <v>17時閉館</v>
      </c>
      <c r="E125" s="10"/>
      <c r="F125" s="147" t="str">
        <f t="shared" si="9"/>
        <v>夜間閉館ではなく17時閉館</v>
      </c>
    </row>
    <row r="126" spans="2:10" s="8" customFormat="1" ht="24" customHeight="1">
      <c r="B126" s="9">
        <f t="shared" si="11"/>
        <v>45845</v>
      </c>
      <c r="C126" s="7" t="str">
        <f t="shared" si="10"/>
        <v>月</v>
      </c>
      <c r="D126" s="7" t="str">
        <f>IF(B126="","",IF(COUNTIF(休館日・祝日!$B:$B,$B126)&gt;=1,"休館日",IF(E126="利用申込のない夜間閉館","★18時閉館",IF(C126="日","17時閉館",IF(COUNTIF(休館日・祝日!$E:$E,$B126)&gt;=1,"17時閉館","21時閉館")))))</f>
        <v>★18時閉館</v>
      </c>
      <c r="E126" s="10" t="s">
        <v>33</v>
      </c>
      <c r="F126" s="147" t="str">
        <f t="shared" si="9"/>
        <v/>
      </c>
    </row>
    <row r="127" spans="2:10" s="8" customFormat="1" ht="24" customHeight="1">
      <c r="B127" s="9">
        <f t="shared" si="11"/>
        <v>45846</v>
      </c>
      <c r="C127" s="7" t="str">
        <f t="shared" si="10"/>
        <v>火</v>
      </c>
      <c r="D127" s="7" t="str">
        <f>IF(B127="","",IF(COUNTIF(休館日・祝日!$B:$B,$B127)&gt;=1,"休館日",IF(E127="利用申込のない夜間閉館","★18時閉館",IF(C127="日","17時閉館",IF(COUNTIF(休館日・祝日!$E:$E,$B127)&gt;=1,"17時閉館","21時閉館")))))</f>
        <v>21時閉館</v>
      </c>
      <c r="E127" s="10"/>
      <c r="F127" s="147" t="str">
        <f t="shared" si="9"/>
        <v/>
      </c>
    </row>
    <row r="128" spans="2:10" s="8" customFormat="1" ht="24" customHeight="1">
      <c r="B128" s="9">
        <f t="shared" si="11"/>
        <v>45847</v>
      </c>
      <c r="C128" s="7" t="str">
        <f t="shared" si="10"/>
        <v>水</v>
      </c>
      <c r="D128" s="7" t="str">
        <f>IF(B128="","",IF(COUNTIF(休館日・祝日!$B:$B,$B128)&gt;=1,"休館日",IF(E128="利用申込のない夜間閉館","★18時閉館",IF(C128="日","17時閉館",IF(COUNTIF(休館日・祝日!$E:$E,$B128)&gt;=1,"17時閉館","21時閉館")))))</f>
        <v>21時閉館</v>
      </c>
      <c r="E128" s="10"/>
      <c r="F128" s="147" t="str">
        <f t="shared" si="9"/>
        <v/>
      </c>
    </row>
    <row r="129" spans="2:6" s="8" customFormat="1" ht="24" customHeight="1">
      <c r="B129" s="9">
        <f t="shared" si="11"/>
        <v>45848</v>
      </c>
      <c r="C129" s="7" t="str">
        <f t="shared" si="10"/>
        <v>木</v>
      </c>
      <c r="D129" s="7" t="str">
        <f>IF(B129="","",IF(COUNTIF(休館日・祝日!$B:$B,$B129)&gt;=1,"休館日",IF(E129="利用申込のない夜間閉館","★18時閉館",IF(C129="日","17時閉館",IF(COUNTIF(休館日・祝日!$E:$E,$B129)&gt;=1,"17時閉館","21時閉館")))))</f>
        <v>★18時閉館</v>
      </c>
      <c r="E129" s="10" t="s">
        <v>33</v>
      </c>
      <c r="F129" s="147" t="str">
        <f t="shared" si="9"/>
        <v/>
      </c>
    </row>
    <row r="130" spans="2:6" s="8" customFormat="1" ht="24" customHeight="1">
      <c r="B130" s="9">
        <f t="shared" si="11"/>
        <v>45849</v>
      </c>
      <c r="C130" s="7" t="str">
        <f t="shared" si="10"/>
        <v>金</v>
      </c>
      <c r="D130" s="7" t="str">
        <f>IF(B130="","",IF(COUNTIF(休館日・祝日!$B:$B,$B130)&gt;=1,"休館日",IF(E130="利用申込のない夜間閉館","★18時閉館",IF(C130="日","17時閉館",IF(COUNTIF(休館日・祝日!$E:$E,$B130)&gt;=1,"17時閉館","21時閉館")))))</f>
        <v>21時閉館</v>
      </c>
      <c r="E130" s="10"/>
      <c r="F130" s="147" t="str">
        <f t="shared" si="9"/>
        <v/>
      </c>
    </row>
    <row r="131" spans="2:6" s="8" customFormat="1" ht="24" customHeight="1">
      <c r="B131" s="9">
        <f t="shared" si="11"/>
        <v>45850</v>
      </c>
      <c r="C131" s="7" t="str">
        <f t="shared" si="10"/>
        <v>土</v>
      </c>
      <c r="D131" s="7" t="str">
        <f>IF(B131="","",IF(COUNTIF(休館日・祝日!$B:$B,$B131)&gt;=1,"休館日",IF(E131="利用申込のない夜間閉館","★18時閉館",IF(C131="日","17時閉館",IF(COUNTIF(休館日・祝日!$E:$E,$B131)&gt;=1,"17時閉館","21時閉館")))))</f>
        <v>21時閉館</v>
      </c>
      <c r="E131" s="10"/>
      <c r="F131" s="147" t="str">
        <f t="shared" si="9"/>
        <v/>
      </c>
    </row>
    <row r="132" spans="2:6" s="8" customFormat="1" ht="24" customHeight="1">
      <c r="B132" s="9">
        <f t="shared" si="11"/>
        <v>45851</v>
      </c>
      <c r="C132" s="7" t="str">
        <f t="shared" si="10"/>
        <v>日</v>
      </c>
      <c r="D132" s="7" t="str">
        <f>IF(B132="","",IF(COUNTIF(休館日・祝日!$B:$B,$B132)&gt;=1,"休館日",IF(E132="利用申込のない夜間閉館","★18時閉館",IF(C132="日","17時閉館",IF(COUNTIF(休館日・祝日!$E:$E,$B132)&gt;=1,"17時閉館","21時閉館")))))</f>
        <v>17時閉館</v>
      </c>
      <c r="E132" s="10"/>
      <c r="F132" s="147" t="str">
        <f t="shared" si="9"/>
        <v>夜間閉館ではなく17時閉館</v>
      </c>
    </row>
    <row r="133" spans="2:6" s="8" customFormat="1" ht="24" customHeight="1">
      <c r="B133" s="9">
        <f t="shared" si="11"/>
        <v>45852</v>
      </c>
      <c r="C133" s="7" t="str">
        <f t="shared" si="10"/>
        <v>月</v>
      </c>
      <c r="D133" s="7" t="str">
        <f>IF(B133="","",IF(COUNTIF(休館日・祝日!$B:$B,$B133)&gt;=1,"休館日",IF(E133="利用申込のない夜間閉館","★18時閉館",IF(C133="日","17時閉館",IF(COUNTIF(休館日・祝日!$E:$E,$B133)&gt;=1,"17時閉館","21時閉館")))))</f>
        <v>★18時閉館</v>
      </c>
      <c r="E133" s="10" t="s">
        <v>33</v>
      </c>
      <c r="F133" s="147" t="str">
        <f t="shared" si="9"/>
        <v/>
      </c>
    </row>
    <row r="134" spans="2:6" s="8" customFormat="1" ht="24" customHeight="1">
      <c r="B134" s="9">
        <f t="shared" si="11"/>
        <v>45853</v>
      </c>
      <c r="C134" s="7" t="str">
        <f t="shared" si="10"/>
        <v>火</v>
      </c>
      <c r="D134" s="7" t="str">
        <f>IF(B134="","",IF(COUNTIF(休館日・祝日!$B:$B,$B134)&gt;=1,"休館日",IF(E134="利用申込のない夜間閉館","★18時閉館",IF(C134="日","17時閉館",IF(COUNTIF(休館日・祝日!$E:$E,$B134)&gt;=1,"17時閉館","21時閉館")))))</f>
        <v>★18時閉館</v>
      </c>
      <c r="E134" s="10" t="s">
        <v>33</v>
      </c>
      <c r="F134" s="147" t="str">
        <f t="shared" si="9"/>
        <v/>
      </c>
    </row>
    <row r="135" spans="2:6" s="8" customFormat="1" ht="24" customHeight="1">
      <c r="B135" s="9">
        <f t="shared" si="11"/>
        <v>45854</v>
      </c>
      <c r="C135" s="7" t="str">
        <f t="shared" si="10"/>
        <v>水</v>
      </c>
      <c r="D135" s="7" t="str">
        <f>IF(B135="","",IF(COUNTIF(休館日・祝日!$B:$B,$B135)&gt;=1,"休館日",IF(E135="利用申込のない夜間閉館","★18時閉館",IF(C135="日","17時閉館",IF(COUNTIF(休館日・祝日!$E:$E,$B135)&gt;=1,"17時閉館","21時閉館")))))</f>
        <v>21時閉館</v>
      </c>
      <c r="E135" s="10"/>
      <c r="F135" s="147" t="str">
        <f t="shared" si="9"/>
        <v/>
      </c>
    </row>
    <row r="136" spans="2:6" s="8" customFormat="1" ht="24" customHeight="1">
      <c r="B136" s="9">
        <f t="shared" si="11"/>
        <v>45855</v>
      </c>
      <c r="C136" s="7" t="str">
        <f t="shared" si="10"/>
        <v>木</v>
      </c>
      <c r="D136" s="7" t="str">
        <f>IF(B136="","",IF(COUNTIF(休館日・祝日!$B:$B,$B136)&gt;=1,"休館日",IF(E136="利用申込のない夜間閉館","★18時閉館",IF(C136="日","17時閉館",IF(COUNTIF(休館日・祝日!$E:$E,$B136)&gt;=1,"17時閉館","21時閉館")))))</f>
        <v>★18時閉館</v>
      </c>
      <c r="E136" s="10" t="s">
        <v>33</v>
      </c>
      <c r="F136" s="147" t="str">
        <f t="shared" si="9"/>
        <v/>
      </c>
    </row>
    <row r="137" spans="2:6" s="8" customFormat="1" ht="24" customHeight="1">
      <c r="B137" s="9">
        <f t="shared" si="11"/>
        <v>45856</v>
      </c>
      <c r="C137" s="7" t="str">
        <f t="shared" si="10"/>
        <v>金</v>
      </c>
      <c r="D137" s="7" t="str">
        <f>IF(B137="","",IF(COUNTIF(休館日・祝日!$B:$B,$B137)&gt;=1,"休館日",IF(E137="利用申込のない夜間閉館","★18時閉館",IF(C137="日","17時閉館",IF(COUNTIF(休館日・祝日!$E:$E,$B137)&gt;=1,"17時閉館","21時閉館")))))</f>
        <v>21時閉館</v>
      </c>
      <c r="E137" s="10"/>
      <c r="F137" s="147" t="str">
        <f t="shared" si="9"/>
        <v/>
      </c>
    </row>
    <row r="138" spans="2:6" s="8" customFormat="1" ht="24" customHeight="1">
      <c r="B138" s="9">
        <f t="shared" si="11"/>
        <v>45857</v>
      </c>
      <c r="C138" s="7" t="str">
        <f t="shared" si="10"/>
        <v>土</v>
      </c>
      <c r="D138" s="7" t="str">
        <f>IF(B138="","",IF(COUNTIF(休館日・祝日!$B:$B,$B138)&gt;=1,"休館日",IF(E138="利用申込のない夜間閉館","★18時閉館",IF(C138="日","17時閉館",IF(COUNTIF(休館日・祝日!$E:$E,$B138)&gt;=1,"17時閉館","21時閉館")))))</f>
        <v>21時閉館</v>
      </c>
      <c r="E138" s="10"/>
      <c r="F138" s="147" t="str">
        <f t="shared" si="9"/>
        <v/>
      </c>
    </row>
    <row r="139" spans="2:6" s="8" customFormat="1" ht="24" customHeight="1">
      <c r="B139" s="9">
        <f t="shared" si="11"/>
        <v>45858</v>
      </c>
      <c r="C139" s="7" t="str">
        <f t="shared" si="10"/>
        <v>日</v>
      </c>
      <c r="D139" s="7" t="str">
        <f>IF(B139="","",IF(COUNTIF(休館日・祝日!$B:$B,$B139)&gt;=1,"休館日",IF(E139="利用申込のない夜間閉館","★18時閉館",IF(C139="日","17時閉館",IF(COUNTIF(休館日・祝日!$E:$E,$B139)&gt;=1,"17時閉館","21時閉館")))))</f>
        <v>17時閉館</v>
      </c>
      <c r="E139" s="10"/>
      <c r="F139" s="147" t="str">
        <f t="shared" si="9"/>
        <v>夜間閉館ではなく17時閉館</v>
      </c>
    </row>
    <row r="140" spans="2:6" s="8" customFormat="1" ht="24" customHeight="1">
      <c r="B140" s="9">
        <f t="shared" si="11"/>
        <v>45859</v>
      </c>
      <c r="C140" s="7" t="str">
        <f t="shared" si="10"/>
        <v>月</v>
      </c>
      <c r="D140" s="7" t="str">
        <f>IF(B140="","",IF(COUNTIF(休館日・祝日!$B:$B,$B140)&gt;=1,"休館日",IF(E140="利用申込のない夜間閉館","★18時閉館",IF(C140="日","17時閉館",IF(COUNTIF(休館日・祝日!$E:$E,$B140)&gt;=1,"17時閉館","21時閉館")))))</f>
        <v>休館日</v>
      </c>
      <c r="E140" s="10"/>
      <c r="F140" s="147" t="str">
        <f t="shared" si="9"/>
        <v/>
      </c>
    </row>
    <row r="141" spans="2:6" s="8" customFormat="1" ht="24" customHeight="1">
      <c r="B141" s="9">
        <f t="shared" si="11"/>
        <v>45860</v>
      </c>
      <c r="C141" s="7" t="str">
        <f t="shared" si="10"/>
        <v>火</v>
      </c>
      <c r="D141" s="7" t="str">
        <f>IF(B141="","",IF(COUNTIF(休館日・祝日!$B:$B,$B141)&gt;=1,"休館日",IF(E141="利用申込のない夜間閉館","★18時閉館",IF(C141="日","17時閉館",IF(COUNTIF(休館日・祝日!$E:$E,$B141)&gt;=1,"17時閉館","21時閉館")))))</f>
        <v>21時閉館</v>
      </c>
      <c r="E141" s="10"/>
      <c r="F141" s="147" t="str">
        <f t="shared" si="9"/>
        <v/>
      </c>
    </row>
    <row r="142" spans="2:6" s="8" customFormat="1" ht="24" customHeight="1">
      <c r="B142" s="9">
        <f t="shared" si="11"/>
        <v>45861</v>
      </c>
      <c r="C142" s="7" t="str">
        <f t="shared" si="10"/>
        <v>水</v>
      </c>
      <c r="D142" s="7" t="str">
        <f>IF(B142="","",IF(COUNTIF(休館日・祝日!$B:$B,$B142)&gt;=1,"休館日",IF(E142="利用申込のない夜間閉館","★18時閉館",IF(C142="日","17時閉館",IF(COUNTIF(休館日・祝日!$E:$E,$B142)&gt;=1,"17時閉館","21時閉館")))))</f>
        <v>21時閉館</v>
      </c>
      <c r="E142" s="10"/>
      <c r="F142" s="147" t="str">
        <f t="shared" si="9"/>
        <v/>
      </c>
    </row>
    <row r="143" spans="2:6" s="8" customFormat="1" ht="24" customHeight="1">
      <c r="B143" s="9">
        <f t="shared" si="11"/>
        <v>45862</v>
      </c>
      <c r="C143" s="7" t="str">
        <f t="shared" si="10"/>
        <v>木</v>
      </c>
      <c r="D143" s="7" t="str">
        <f>IF(B143="","",IF(COUNTIF(休館日・祝日!$B:$B,$B143)&gt;=1,"休館日",IF(E143="利用申込のない夜間閉館","★18時閉館",IF(C143="日","17時閉館",IF(COUNTIF(休館日・祝日!$E:$E,$B143)&gt;=1,"17時閉館","21時閉館")))))</f>
        <v>21時閉館</v>
      </c>
      <c r="E143" s="10"/>
      <c r="F143" s="147" t="str">
        <f t="shared" si="9"/>
        <v/>
      </c>
    </row>
    <row r="144" spans="2:6" s="8" customFormat="1" ht="24" customHeight="1">
      <c r="B144" s="9">
        <f t="shared" si="11"/>
        <v>45863</v>
      </c>
      <c r="C144" s="7" t="str">
        <f t="shared" si="10"/>
        <v>金</v>
      </c>
      <c r="D144" s="7" t="str">
        <f>IF(B144="","",IF(COUNTIF(休館日・祝日!$B:$B,$B144)&gt;=1,"休館日",IF(E144="利用申込のない夜間閉館","★18時閉館",IF(C144="日","17時閉館",IF(COUNTIF(休館日・祝日!$E:$E,$B144)&gt;=1,"17時閉館","21時閉館")))))</f>
        <v>21時閉館</v>
      </c>
      <c r="E144" s="10"/>
      <c r="F144" s="147" t="str">
        <f t="shared" si="9"/>
        <v/>
      </c>
    </row>
    <row r="145" spans="2:10" s="8" customFormat="1" ht="24" customHeight="1">
      <c r="B145" s="9">
        <f t="shared" si="11"/>
        <v>45864</v>
      </c>
      <c r="C145" s="7" t="str">
        <f t="shared" si="10"/>
        <v>土</v>
      </c>
      <c r="D145" s="7" t="str">
        <f>IF(B145="","",IF(COUNTIF(休館日・祝日!$B:$B,$B145)&gt;=1,"休館日",IF(E145="利用申込のない夜間閉館","★18時閉館",IF(C145="日","17時閉館",IF(COUNTIF(休館日・祝日!$E:$E,$B145)&gt;=1,"17時閉館","21時閉館")))))</f>
        <v>21時閉館</v>
      </c>
      <c r="E145" s="10"/>
      <c r="F145" s="147" t="str">
        <f t="shared" si="9"/>
        <v/>
      </c>
    </row>
    <row r="146" spans="2:10" s="8" customFormat="1" ht="24" customHeight="1">
      <c r="B146" s="9">
        <f t="shared" si="11"/>
        <v>45865</v>
      </c>
      <c r="C146" s="7" t="str">
        <f t="shared" si="10"/>
        <v>日</v>
      </c>
      <c r="D146" s="7" t="str">
        <f>IF(B146="","",IF(COUNTIF(休館日・祝日!$B:$B,$B146)&gt;=1,"休館日",IF(E146="利用申込のない夜間閉館","★18時閉館",IF(C146="日","17時閉館",IF(COUNTIF(休館日・祝日!$E:$E,$B146)&gt;=1,"17時閉館","21時閉館")))))</f>
        <v>17時閉館</v>
      </c>
      <c r="E146" s="10"/>
      <c r="F146" s="147" t="str">
        <f t="shared" si="9"/>
        <v>夜間閉館ではなく17時閉館</v>
      </c>
    </row>
    <row r="147" spans="2:10" s="8" customFormat="1" ht="24" customHeight="1">
      <c r="B147" s="9">
        <f t="shared" si="11"/>
        <v>45866</v>
      </c>
      <c r="C147" s="7" t="str">
        <f t="shared" si="10"/>
        <v>月</v>
      </c>
      <c r="D147" s="7" t="str">
        <f>IF(B147="","",IF(COUNTIF(休館日・祝日!$B:$B,$B147)&gt;=1,"休館日",IF(E147="利用申込のない夜間閉館","★18時閉館",IF(C147="日","17時閉館",IF(COUNTIF(休館日・祝日!$E:$E,$B147)&gt;=1,"17時閉館","21時閉館")))))</f>
        <v>21時閉館</v>
      </c>
      <c r="E147" s="10"/>
      <c r="F147" s="147" t="str">
        <f t="shared" si="9"/>
        <v/>
      </c>
    </row>
    <row r="148" spans="2:10" s="8" customFormat="1" ht="24" customHeight="1">
      <c r="B148" s="9">
        <f t="shared" si="11"/>
        <v>45867</v>
      </c>
      <c r="C148" s="7" t="str">
        <f t="shared" si="10"/>
        <v>火</v>
      </c>
      <c r="D148" s="7" t="str">
        <f>IF(B148="","",IF(COUNTIF(休館日・祝日!$B:$B,$B148)&gt;=1,"休館日",IF(E148="利用申込のない夜間閉館","★18時閉館",IF(C148="日","17時閉館",IF(COUNTIF(休館日・祝日!$E:$E,$B148)&gt;=1,"17時閉館","21時閉館")))))</f>
        <v>★18時閉館</v>
      </c>
      <c r="E148" s="10" t="s">
        <v>33</v>
      </c>
      <c r="F148" s="147" t="str">
        <f t="shared" si="9"/>
        <v/>
      </c>
    </row>
    <row r="149" spans="2:10" s="8" customFormat="1" ht="24" customHeight="1">
      <c r="B149" s="9">
        <f t="shared" si="11"/>
        <v>45868</v>
      </c>
      <c r="C149" s="7" t="str">
        <f t="shared" si="10"/>
        <v>水</v>
      </c>
      <c r="D149" s="7" t="str">
        <f>IF(B149="","",IF(COUNTIF(休館日・祝日!$B:$B,$B149)&gt;=1,"休館日",IF(E149="利用申込のない夜間閉館","★18時閉館",IF(C149="日","17時閉館",IF(COUNTIF(休館日・祝日!$E:$E,$B149)&gt;=1,"17時閉館","21時閉館")))))</f>
        <v>21時閉館</v>
      </c>
      <c r="E149" s="10"/>
      <c r="F149" s="147" t="str">
        <f t="shared" si="9"/>
        <v/>
      </c>
    </row>
    <row r="150" spans="2:10" s="8" customFormat="1" ht="24" customHeight="1">
      <c r="B150" s="9">
        <f>IF(B149="","",IF(MONTH(B149+1)=$B$115,B149+1,""))</f>
        <v>45869</v>
      </c>
      <c r="C150" s="7" t="str">
        <f t="shared" si="10"/>
        <v>木</v>
      </c>
      <c r="D150" s="7" t="str">
        <f>IF(B150="","",IF(COUNTIF(休館日・祝日!$B:$B,$B150)&gt;=1,"休館日",IF(E150="利用申込のない夜間閉館","★18時閉館",IF(C150="日","17時閉館",IF(COUNTIF(休館日・祝日!$E:$E,$B150)&gt;=1,"17時閉館","21時閉館")))))</f>
        <v>★18時閉館</v>
      </c>
      <c r="E150" s="10" t="s">
        <v>33</v>
      </c>
      <c r="F150" s="147" t="str">
        <f t="shared" si="9"/>
        <v/>
      </c>
    </row>
    <row r="151" spans="2:10" ht="24" customHeight="1" thickBot="1"/>
    <row r="152" spans="2:10" ht="24" customHeight="1" thickBot="1">
      <c r="B152" s="72">
        <f>$B$1</f>
        <v>2025</v>
      </c>
      <c r="C152" s="4" t="s">
        <v>9</v>
      </c>
      <c r="F152" s="145" t="s">
        <v>0</v>
      </c>
      <c r="H152" s="21">
        <f>B153</f>
        <v>8</v>
      </c>
      <c r="I152" s="21" t="s">
        <v>28</v>
      </c>
    </row>
    <row r="153" spans="2:10" ht="24" customHeight="1" thickBot="1">
      <c r="B153" s="5">
        <v>8</v>
      </c>
      <c r="C153" s="4" t="s">
        <v>25</v>
      </c>
      <c r="H153" s="22" t="s">
        <v>33</v>
      </c>
      <c r="I153" s="22">
        <f>COUNTIF(E158:E188,H153)</f>
        <v>9</v>
      </c>
      <c r="J153" s="4" t="s">
        <v>51</v>
      </c>
    </row>
    <row r="154" spans="2:10" ht="24" customHeight="1">
      <c r="B154" s="6" t="s">
        <v>26</v>
      </c>
      <c r="F154" s="144"/>
    </row>
    <row r="155" spans="2:10" ht="26.25" customHeight="1">
      <c r="B155" s="4" t="s">
        <v>27</v>
      </c>
      <c r="F155" s="144"/>
    </row>
    <row r="156" spans="2:10" ht="26.25" customHeight="1">
      <c r="F156" s="144"/>
    </row>
    <row r="157" spans="2:10" s="8" customFormat="1" ht="36.75" customHeight="1">
      <c r="B157" s="151"/>
      <c r="C157" s="152"/>
      <c r="D157" s="60" t="s">
        <v>39</v>
      </c>
      <c r="E157" s="58" t="s">
        <v>38</v>
      </c>
      <c r="F157" s="146" t="s">
        <v>30</v>
      </c>
    </row>
    <row r="158" spans="2:10" s="8" customFormat="1" ht="24" customHeight="1">
      <c r="B158" s="9">
        <f>DATE(B152,B153,1)</f>
        <v>45870</v>
      </c>
      <c r="C158" s="7" t="str">
        <f>TEXT(B158,"aaa")</f>
        <v>金</v>
      </c>
      <c r="D158" s="7" t="str">
        <f>IF(B158="","",IF(COUNTIF(休館日・祝日!$B:$B,$B158)&gt;=1,"休館日",IF(E158="利用申込のない夜間閉館","★18時閉館",IF(C158="日","17時閉館",IF(COUNTIF(休館日・祝日!$E:$E,$B158)&gt;=1,"17時閉館","21時閉館")))))</f>
        <v>21時閉館</v>
      </c>
      <c r="E158" s="10"/>
      <c r="F158" s="147" t="str">
        <f t="shared" ref="F158:F188" si="12">IF(D158="17時閉館","夜間閉館ではなく17時閉館","")</f>
        <v/>
      </c>
    </row>
    <row r="159" spans="2:10" s="8" customFormat="1" ht="24" customHeight="1">
      <c r="B159" s="9">
        <f>IF(B158="","",IF(MONTH(B158+1)=$B$153,B158+1,""))</f>
        <v>45871</v>
      </c>
      <c r="C159" s="7" t="str">
        <f t="shared" ref="C159:C188" si="13">TEXT(B159,"aaa")</f>
        <v>土</v>
      </c>
      <c r="D159" s="7" t="str">
        <f>IF(B159="","",IF(COUNTIF(休館日・祝日!$B:$B,$B159)&gt;=1,"休館日",IF(E159="利用申込のない夜間閉館","★18時閉館",IF(C159="日","17時閉館",IF(COUNTIF(休館日・祝日!$E:$E,$B159)&gt;=1,"17時閉館","21時閉館")))))</f>
        <v>21時閉館</v>
      </c>
      <c r="E159" s="10"/>
      <c r="F159" s="147" t="str">
        <f t="shared" si="12"/>
        <v/>
      </c>
    </row>
    <row r="160" spans="2:10" s="8" customFormat="1" ht="24" customHeight="1">
      <c r="B160" s="9">
        <f t="shared" ref="B160:B188" si="14">IF(B159="","",IF(MONTH(B159+1)=$B$153,B159+1,""))</f>
        <v>45872</v>
      </c>
      <c r="C160" s="7" t="str">
        <f t="shared" si="13"/>
        <v>日</v>
      </c>
      <c r="D160" s="7" t="str">
        <f>IF(B160="","",IF(COUNTIF(休館日・祝日!$B:$B,$B160)&gt;=1,"休館日",IF(E160="利用申込のない夜間閉館","★18時閉館",IF(C160="日","17時閉館",IF(COUNTIF(休館日・祝日!$E:$E,$B160)&gt;=1,"17時閉館","21時閉館")))))</f>
        <v>17時閉館</v>
      </c>
      <c r="E160" s="10"/>
      <c r="F160" s="147" t="str">
        <f t="shared" si="12"/>
        <v>夜間閉館ではなく17時閉館</v>
      </c>
    </row>
    <row r="161" spans="2:6" s="8" customFormat="1" ht="24" customHeight="1">
      <c r="B161" s="9">
        <f t="shared" si="14"/>
        <v>45873</v>
      </c>
      <c r="C161" s="7" t="str">
        <f t="shared" si="13"/>
        <v>月</v>
      </c>
      <c r="D161" s="7" t="str">
        <f>IF(B161="","",IF(COUNTIF(休館日・祝日!$B:$B,$B161)&gt;=1,"休館日",IF(E161="利用申込のない夜間閉館","★18時閉館",IF(C161="日","17時閉館",IF(COUNTIF(休館日・祝日!$E:$E,$B161)&gt;=1,"17時閉館","21時閉館")))))</f>
        <v>★18時閉館</v>
      </c>
      <c r="E161" s="10" t="s">
        <v>33</v>
      </c>
      <c r="F161" s="147" t="str">
        <f t="shared" si="12"/>
        <v/>
      </c>
    </row>
    <row r="162" spans="2:6" s="8" customFormat="1" ht="24" customHeight="1">
      <c r="B162" s="9">
        <f t="shared" si="14"/>
        <v>45874</v>
      </c>
      <c r="C162" s="7" t="str">
        <f t="shared" si="13"/>
        <v>火</v>
      </c>
      <c r="D162" s="7" t="str">
        <f>IF(B162="","",IF(COUNTIF(休館日・祝日!$B:$B,$B162)&gt;=1,"休館日",IF(E162="利用申込のない夜間閉館","★18時閉館",IF(C162="日","17時閉館",IF(COUNTIF(休館日・祝日!$E:$E,$B162)&gt;=1,"17時閉館","21時閉館")))))</f>
        <v>★18時閉館</v>
      </c>
      <c r="E162" s="10" t="s">
        <v>33</v>
      </c>
      <c r="F162" s="147" t="str">
        <f t="shared" si="12"/>
        <v/>
      </c>
    </row>
    <row r="163" spans="2:6" s="8" customFormat="1" ht="24" customHeight="1">
      <c r="B163" s="9">
        <f t="shared" si="14"/>
        <v>45875</v>
      </c>
      <c r="C163" s="7" t="str">
        <f t="shared" si="13"/>
        <v>水</v>
      </c>
      <c r="D163" s="7" t="str">
        <f>IF(B163="","",IF(COUNTIF(休館日・祝日!$B:$B,$B163)&gt;=1,"休館日",IF(E163="利用申込のない夜間閉館","★18時閉館",IF(C163="日","17時閉館",IF(COUNTIF(休館日・祝日!$E:$E,$B163)&gt;=1,"17時閉館","21時閉館")))))</f>
        <v>21時閉館</v>
      </c>
      <c r="E163" s="10"/>
      <c r="F163" s="147" t="str">
        <f t="shared" si="12"/>
        <v/>
      </c>
    </row>
    <row r="164" spans="2:6" s="8" customFormat="1" ht="24" customHeight="1">
      <c r="B164" s="9">
        <f t="shared" si="14"/>
        <v>45876</v>
      </c>
      <c r="C164" s="7" t="str">
        <f t="shared" si="13"/>
        <v>木</v>
      </c>
      <c r="D164" s="7" t="str">
        <f>IF(B164="","",IF(COUNTIF(休館日・祝日!$B:$B,$B164)&gt;=1,"休館日",IF(E164="利用申込のない夜間閉館","★18時閉館",IF(C164="日","17時閉館",IF(COUNTIF(休館日・祝日!$E:$E,$B164)&gt;=1,"17時閉館","21時閉館")))))</f>
        <v>★18時閉館</v>
      </c>
      <c r="E164" s="10" t="s">
        <v>33</v>
      </c>
      <c r="F164" s="147" t="str">
        <f t="shared" si="12"/>
        <v/>
      </c>
    </row>
    <row r="165" spans="2:6" s="8" customFormat="1" ht="24" customHeight="1">
      <c r="B165" s="9">
        <f t="shared" si="14"/>
        <v>45877</v>
      </c>
      <c r="C165" s="7" t="str">
        <f t="shared" si="13"/>
        <v>金</v>
      </c>
      <c r="D165" s="7" t="str">
        <f>IF(B165="","",IF(COUNTIF(休館日・祝日!$B:$B,$B165)&gt;=1,"休館日",IF(E165="利用申込のない夜間閉館","★18時閉館",IF(C165="日","17時閉館",IF(COUNTIF(休館日・祝日!$E:$E,$B165)&gt;=1,"17時閉館","21時閉館")))))</f>
        <v>21時閉館</v>
      </c>
      <c r="E165" s="10"/>
      <c r="F165" s="147" t="str">
        <f t="shared" si="12"/>
        <v/>
      </c>
    </row>
    <row r="166" spans="2:6" s="8" customFormat="1" ht="24" customHeight="1">
      <c r="B166" s="9">
        <f t="shared" si="14"/>
        <v>45878</v>
      </c>
      <c r="C166" s="7" t="str">
        <f t="shared" si="13"/>
        <v>土</v>
      </c>
      <c r="D166" s="7" t="str">
        <f>IF(B166="","",IF(COUNTIF(休館日・祝日!$B:$B,$B166)&gt;=1,"休館日",IF(E166="利用申込のない夜間閉館","★18時閉館",IF(C166="日","17時閉館",IF(COUNTIF(休館日・祝日!$E:$E,$B166)&gt;=1,"17時閉館","21時閉館")))))</f>
        <v>21時閉館</v>
      </c>
      <c r="E166" s="10"/>
      <c r="F166" s="147" t="str">
        <f t="shared" si="12"/>
        <v/>
      </c>
    </row>
    <row r="167" spans="2:6" s="8" customFormat="1" ht="24" customHeight="1">
      <c r="B167" s="9">
        <f t="shared" si="14"/>
        <v>45879</v>
      </c>
      <c r="C167" s="7" t="str">
        <f t="shared" si="13"/>
        <v>日</v>
      </c>
      <c r="D167" s="7" t="str">
        <f>IF(B167="","",IF(COUNTIF(休館日・祝日!$B:$B,$B167)&gt;=1,"休館日",IF(E167="利用申込のない夜間閉館","★18時閉館",IF(C167="日","17時閉館",IF(COUNTIF(休館日・祝日!$E:$E,$B167)&gt;=1,"17時閉館","21時閉館")))))</f>
        <v>17時閉館</v>
      </c>
      <c r="E167" s="10"/>
      <c r="F167" s="147" t="str">
        <f t="shared" si="12"/>
        <v>夜間閉館ではなく17時閉館</v>
      </c>
    </row>
    <row r="168" spans="2:6" s="8" customFormat="1" ht="24" customHeight="1">
      <c r="B168" s="9">
        <f t="shared" si="14"/>
        <v>45880</v>
      </c>
      <c r="C168" s="7" t="str">
        <f t="shared" si="13"/>
        <v>月</v>
      </c>
      <c r="D168" s="7" t="str">
        <f>IF(B168="","",IF(COUNTIF(休館日・祝日!$B:$B,$B168)&gt;=1,"休館日",IF(E168="利用申込のない夜間閉館","★18時閉館",IF(C168="日","17時閉館",IF(COUNTIF(休館日・祝日!$E:$E,$B168)&gt;=1,"17時閉館","21時閉館")))))</f>
        <v>17時閉館</v>
      </c>
      <c r="E168" s="10"/>
      <c r="F168" s="147" t="str">
        <f t="shared" si="12"/>
        <v>夜間閉館ではなく17時閉館</v>
      </c>
    </row>
    <row r="169" spans="2:6" s="8" customFormat="1" ht="24" customHeight="1">
      <c r="B169" s="9">
        <f t="shared" si="14"/>
        <v>45881</v>
      </c>
      <c r="C169" s="7" t="str">
        <f t="shared" si="13"/>
        <v>火</v>
      </c>
      <c r="D169" s="7" t="str">
        <f>IF(B169="","",IF(COUNTIF(休館日・祝日!$B:$B,$B169)&gt;=1,"休館日",IF(E169="利用申込のない夜間閉館","★18時閉館",IF(C169="日","17時閉館",IF(COUNTIF(休館日・祝日!$E:$E,$B169)&gt;=1,"17時閉館","21時閉館")))))</f>
        <v>21時閉館</v>
      </c>
      <c r="E169" s="10"/>
      <c r="F169" s="147" t="str">
        <f t="shared" si="12"/>
        <v/>
      </c>
    </row>
    <row r="170" spans="2:6" s="8" customFormat="1" ht="24" customHeight="1">
      <c r="B170" s="9">
        <f t="shared" si="14"/>
        <v>45882</v>
      </c>
      <c r="C170" s="7" t="str">
        <f t="shared" si="13"/>
        <v>水</v>
      </c>
      <c r="D170" s="7" t="str">
        <f>IF(B170="","",IF(COUNTIF(休館日・祝日!$B:$B,$B170)&gt;=1,"休館日",IF(E170="利用申込のない夜間閉館","★18時閉館",IF(C170="日","17時閉館",IF(COUNTIF(休館日・祝日!$E:$E,$B170)&gt;=1,"17時閉館","21時閉館")))))</f>
        <v>★18時閉館</v>
      </c>
      <c r="E170" s="10" t="s">
        <v>33</v>
      </c>
      <c r="F170" s="147" t="str">
        <f t="shared" si="12"/>
        <v/>
      </c>
    </row>
    <row r="171" spans="2:6" s="8" customFormat="1" ht="24" customHeight="1">
      <c r="B171" s="9">
        <f t="shared" si="14"/>
        <v>45883</v>
      </c>
      <c r="C171" s="7" t="str">
        <f t="shared" si="13"/>
        <v>木</v>
      </c>
      <c r="D171" s="7" t="str">
        <f>IF(B171="","",IF(COUNTIF(休館日・祝日!$B:$B,$B171)&gt;=1,"休館日",IF(E171="利用申込のない夜間閉館","★18時閉館",IF(C171="日","17時閉館",IF(COUNTIF(休館日・祝日!$E:$E,$B171)&gt;=1,"17時閉館","21時閉館")))))</f>
        <v>★18時閉館</v>
      </c>
      <c r="E171" s="10" t="s">
        <v>33</v>
      </c>
      <c r="F171" s="147" t="str">
        <f t="shared" si="12"/>
        <v/>
      </c>
    </row>
    <row r="172" spans="2:6" s="8" customFormat="1" ht="24" customHeight="1">
      <c r="B172" s="9">
        <f t="shared" si="14"/>
        <v>45884</v>
      </c>
      <c r="C172" s="7" t="str">
        <f t="shared" si="13"/>
        <v>金</v>
      </c>
      <c r="D172" s="7" t="str">
        <f>IF(B172="","",IF(COUNTIF(休館日・祝日!$B:$B,$B172)&gt;=1,"休館日",IF(E172="利用申込のない夜間閉館","★18時閉館",IF(C172="日","17時閉館",IF(COUNTIF(休館日・祝日!$E:$E,$B172)&gt;=1,"17時閉館","21時閉館")))))</f>
        <v>★18時閉館</v>
      </c>
      <c r="E172" s="10" t="s">
        <v>33</v>
      </c>
      <c r="F172" s="147" t="str">
        <f t="shared" si="12"/>
        <v/>
      </c>
    </row>
    <row r="173" spans="2:6" s="8" customFormat="1" ht="24" customHeight="1">
      <c r="B173" s="9">
        <f t="shared" si="14"/>
        <v>45885</v>
      </c>
      <c r="C173" s="7" t="str">
        <f t="shared" si="13"/>
        <v>土</v>
      </c>
      <c r="D173" s="7" t="str">
        <f>IF(B173="","",IF(COUNTIF(休館日・祝日!$B:$B,$B173)&gt;=1,"休館日",IF(E173="利用申込のない夜間閉館","★18時閉館",IF(C173="日","17時閉館",IF(COUNTIF(休館日・祝日!$E:$E,$B173)&gt;=1,"17時閉館","21時閉館")))))</f>
        <v>21時閉館</v>
      </c>
      <c r="E173" s="10"/>
      <c r="F173" s="147" t="str">
        <f t="shared" si="12"/>
        <v/>
      </c>
    </row>
    <row r="174" spans="2:6" s="8" customFormat="1" ht="24" customHeight="1">
      <c r="B174" s="9">
        <f t="shared" si="14"/>
        <v>45886</v>
      </c>
      <c r="C174" s="7" t="str">
        <f t="shared" si="13"/>
        <v>日</v>
      </c>
      <c r="D174" s="7" t="str">
        <f>IF(B174="","",IF(COUNTIF(休館日・祝日!$B:$B,$B174)&gt;=1,"休館日",IF(E174="利用申込のない夜間閉館","★18時閉館",IF(C174="日","17時閉館",IF(COUNTIF(休館日・祝日!$E:$E,$B174)&gt;=1,"17時閉館","21時閉館")))))</f>
        <v>17時閉館</v>
      </c>
      <c r="E174" s="10"/>
      <c r="F174" s="147" t="str">
        <f t="shared" si="12"/>
        <v>夜間閉館ではなく17時閉館</v>
      </c>
    </row>
    <row r="175" spans="2:6" s="8" customFormat="1" ht="24" customHeight="1">
      <c r="B175" s="9">
        <f t="shared" si="14"/>
        <v>45887</v>
      </c>
      <c r="C175" s="7" t="str">
        <f t="shared" si="13"/>
        <v>月</v>
      </c>
      <c r="D175" s="7" t="str">
        <f>IF(B175="","",IF(COUNTIF(休館日・祝日!$B:$B,$B175)&gt;=1,"休館日",IF(E175="利用申込のない夜間閉館","★18時閉館",IF(C175="日","17時閉館",IF(COUNTIF(休館日・祝日!$E:$E,$B175)&gt;=1,"17時閉館","21時閉館")))))</f>
        <v>休館日</v>
      </c>
      <c r="E175" s="10"/>
      <c r="F175" s="147" t="str">
        <f t="shared" si="12"/>
        <v/>
      </c>
    </row>
    <row r="176" spans="2:6" s="8" customFormat="1" ht="24" customHeight="1">
      <c r="B176" s="9">
        <f t="shared" si="14"/>
        <v>45888</v>
      </c>
      <c r="C176" s="7" t="str">
        <f t="shared" si="13"/>
        <v>火</v>
      </c>
      <c r="D176" s="7" t="str">
        <f>IF(B176="","",IF(COUNTIF(休館日・祝日!$B:$B,$B176)&gt;=1,"休館日",IF(E176="利用申込のない夜間閉館","★18時閉館",IF(C176="日","17時閉館",IF(COUNTIF(休館日・祝日!$E:$E,$B176)&gt;=1,"17時閉館","21時閉館")))))</f>
        <v>★18時閉館</v>
      </c>
      <c r="E176" s="10" t="s">
        <v>33</v>
      </c>
      <c r="F176" s="147" t="str">
        <f t="shared" si="12"/>
        <v/>
      </c>
    </row>
    <row r="177" spans="2:10" s="8" customFormat="1" ht="24" customHeight="1">
      <c r="B177" s="9">
        <f t="shared" si="14"/>
        <v>45889</v>
      </c>
      <c r="C177" s="7" t="str">
        <f t="shared" si="13"/>
        <v>水</v>
      </c>
      <c r="D177" s="7" t="str">
        <f>IF(B177="","",IF(COUNTIF(休館日・祝日!$B:$B,$B177)&gt;=1,"休館日",IF(E177="利用申込のない夜間閉館","★18時閉館",IF(C177="日","17時閉館",IF(COUNTIF(休館日・祝日!$E:$E,$B177)&gt;=1,"17時閉館","21時閉館")))))</f>
        <v>21時閉館</v>
      </c>
      <c r="E177" s="10"/>
      <c r="F177" s="147" t="str">
        <f t="shared" si="12"/>
        <v/>
      </c>
    </row>
    <row r="178" spans="2:10" s="8" customFormat="1" ht="24" customHeight="1">
      <c r="B178" s="9">
        <f t="shared" si="14"/>
        <v>45890</v>
      </c>
      <c r="C178" s="7" t="str">
        <f t="shared" si="13"/>
        <v>木</v>
      </c>
      <c r="D178" s="7" t="str">
        <f>IF(B178="","",IF(COUNTIF(休館日・祝日!$B:$B,$B178)&gt;=1,"休館日",IF(E178="利用申込のない夜間閉館","★18時閉館",IF(C178="日","17時閉館",IF(COUNTIF(休館日・祝日!$E:$E,$B178)&gt;=1,"17時閉館","21時閉館")))))</f>
        <v>21時閉館</v>
      </c>
      <c r="E178" s="10"/>
      <c r="F178" s="147" t="str">
        <f t="shared" si="12"/>
        <v/>
      </c>
    </row>
    <row r="179" spans="2:10" s="8" customFormat="1" ht="24" customHeight="1">
      <c r="B179" s="9">
        <f t="shared" si="14"/>
        <v>45891</v>
      </c>
      <c r="C179" s="7" t="str">
        <f t="shared" si="13"/>
        <v>金</v>
      </c>
      <c r="D179" s="7" t="str">
        <f>IF(B179="","",IF(COUNTIF(休館日・祝日!$B:$B,$B179)&gt;=1,"休館日",IF(E179="利用申込のない夜間閉館","★18時閉館",IF(C179="日","17時閉館",IF(COUNTIF(休館日・祝日!$E:$E,$B179)&gt;=1,"17時閉館","21時閉館")))))</f>
        <v>21時閉館</v>
      </c>
      <c r="E179" s="10"/>
      <c r="F179" s="147" t="str">
        <f t="shared" si="12"/>
        <v/>
      </c>
    </row>
    <row r="180" spans="2:10" s="8" customFormat="1" ht="24" customHeight="1">
      <c r="B180" s="9">
        <f t="shared" si="14"/>
        <v>45892</v>
      </c>
      <c r="C180" s="7" t="str">
        <f t="shared" si="13"/>
        <v>土</v>
      </c>
      <c r="D180" s="7" t="str">
        <f>IF(B180="","",IF(COUNTIF(休館日・祝日!$B:$B,$B180)&gt;=1,"休館日",IF(E180="利用申込のない夜間閉館","★18時閉館",IF(C180="日","17時閉館",IF(COUNTIF(休館日・祝日!$E:$E,$B180)&gt;=1,"17時閉館","21時閉館")))))</f>
        <v>21時閉館</v>
      </c>
      <c r="E180" s="10"/>
      <c r="F180" s="147" t="str">
        <f t="shared" si="12"/>
        <v/>
      </c>
    </row>
    <row r="181" spans="2:10" s="8" customFormat="1" ht="24" customHeight="1">
      <c r="B181" s="9">
        <f t="shared" si="14"/>
        <v>45893</v>
      </c>
      <c r="C181" s="7" t="str">
        <f t="shared" si="13"/>
        <v>日</v>
      </c>
      <c r="D181" s="7" t="str">
        <f>IF(B181="","",IF(COUNTIF(休館日・祝日!$B:$B,$B181)&gt;=1,"休館日",IF(E181="利用申込のない夜間閉館","★18時閉館",IF(C181="日","17時閉館",IF(COUNTIF(休館日・祝日!$E:$E,$B181)&gt;=1,"17時閉館","21時閉館")))))</f>
        <v>17時閉館</v>
      </c>
      <c r="E181" s="10"/>
      <c r="F181" s="147" t="str">
        <f t="shared" si="12"/>
        <v>夜間閉館ではなく17時閉館</v>
      </c>
    </row>
    <row r="182" spans="2:10" s="8" customFormat="1" ht="24" customHeight="1">
      <c r="B182" s="9">
        <f t="shared" si="14"/>
        <v>45894</v>
      </c>
      <c r="C182" s="7" t="str">
        <f t="shared" si="13"/>
        <v>月</v>
      </c>
      <c r="D182" s="7" t="str">
        <f>IF(B182="","",IF(COUNTIF(休館日・祝日!$B:$B,$B182)&gt;=1,"休館日",IF(E182="利用申込のない夜間閉館","★18時閉館",IF(C182="日","17時閉館",IF(COUNTIF(休館日・祝日!$E:$E,$B182)&gt;=1,"17時閉館","21時閉館")))))</f>
        <v>21時閉館</v>
      </c>
      <c r="E182" s="10"/>
      <c r="F182" s="147" t="str">
        <f t="shared" si="12"/>
        <v/>
      </c>
    </row>
    <row r="183" spans="2:10" s="8" customFormat="1" ht="24" customHeight="1">
      <c r="B183" s="9">
        <f t="shared" si="14"/>
        <v>45895</v>
      </c>
      <c r="C183" s="7" t="str">
        <f t="shared" si="13"/>
        <v>火</v>
      </c>
      <c r="D183" s="7" t="str">
        <f>IF(B183="","",IF(COUNTIF(休館日・祝日!$B:$B,$B183)&gt;=1,"休館日",IF(E183="利用申込のない夜間閉館","★18時閉館",IF(C183="日","17時閉館",IF(COUNTIF(休館日・祝日!$E:$E,$B183)&gt;=1,"17時閉館","21時閉館")))))</f>
        <v>21時閉館</v>
      </c>
      <c r="E183" s="10"/>
      <c r="F183" s="147" t="str">
        <f t="shared" si="12"/>
        <v/>
      </c>
    </row>
    <row r="184" spans="2:10" s="8" customFormat="1" ht="24" customHeight="1">
      <c r="B184" s="9">
        <f t="shared" si="14"/>
        <v>45896</v>
      </c>
      <c r="C184" s="7" t="str">
        <f t="shared" si="13"/>
        <v>水</v>
      </c>
      <c r="D184" s="7" t="str">
        <f>IF(B184="","",IF(COUNTIF(休館日・祝日!$B:$B,$B184)&gt;=1,"休館日",IF(E184="利用申込のない夜間閉館","★18時閉館",IF(C184="日","17時閉館",IF(COUNTIF(休館日・祝日!$E:$E,$B184)&gt;=1,"17時閉館","21時閉館")))))</f>
        <v>21時閉館</v>
      </c>
      <c r="E184" s="10"/>
      <c r="F184" s="147" t="str">
        <f t="shared" si="12"/>
        <v/>
      </c>
    </row>
    <row r="185" spans="2:10" s="8" customFormat="1" ht="24" customHeight="1">
      <c r="B185" s="9">
        <f t="shared" si="14"/>
        <v>45897</v>
      </c>
      <c r="C185" s="7" t="str">
        <f t="shared" si="13"/>
        <v>木</v>
      </c>
      <c r="D185" s="7" t="str">
        <f>IF(B185="","",IF(COUNTIF(休館日・祝日!$B:$B,$B185)&gt;=1,"休館日",IF(E185="利用申込のない夜間閉館","★18時閉館",IF(C185="日","17時閉館",IF(COUNTIF(休館日・祝日!$E:$E,$B185)&gt;=1,"17時閉館","21時閉館")))))</f>
        <v>★18時閉館</v>
      </c>
      <c r="E185" s="10" t="s">
        <v>33</v>
      </c>
      <c r="F185" s="147" t="str">
        <f t="shared" si="12"/>
        <v/>
      </c>
    </row>
    <row r="186" spans="2:10" s="8" customFormat="1" ht="24" customHeight="1">
      <c r="B186" s="9">
        <f t="shared" si="14"/>
        <v>45898</v>
      </c>
      <c r="C186" s="7" t="str">
        <f t="shared" si="13"/>
        <v>金</v>
      </c>
      <c r="D186" s="7" t="str">
        <f>IF(B186="","",IF(COUNTIF(休館日・祝日!$B:$B,$B186)&gt;=1,"休館日",IF(E186="利用申込のない夜間閉館","★18時閉館",IF(C186="日","17時閉館",IF(COUNTIF(休館日・祝日!$E:$E,$B186)&gt;=1,"17時閉館","21時閉館")))))</f>
        <v>21時閉館</v>
      </c>
      <c r="E186" s="10"/>
      <c r="F186" s="147" t="str">
        <f t="shared" si="12"/>
        <v/>
      </c>
    </row>
    <row r="187" spans="2:10" s="8" customFormat="1" ht="24" customHeight="1">
      <c r="B187" s="9">
        <f t="shared" si="14"/>
        <v>45899</v>
      </c>
      <c r="C187" s="7" t="str">
        <f t="shared" si="13"/>
        <v>土</v>
      </c>
      <c r="D187" s="7" t="str">
        <f>IF(B187="","",IF(COUNTIF(休館日・祝日!$B:$B,$B187)&gt;=1,"休館日",IF(E187="利用申込のない夜間閉館","★18時閉館",IF(C187="日","17時閉館",IF(COUNTIF(休館日・祝日!$E:$E,$B187)&gt;=1,"17時閉館","21時閉館")))))</f>
        <v>★18時閉館</v>
      </c>
      <c r="E187" s="10" t="s">
        <v>33</v>
      </c>
      <c r="F187" s="147" t="str">
        <f t="shared" si="12"/>
        <v/>
      </c>
    </row>
    <row r="188" spans="2:10" s="8" customFormat="1" ht="24" customHeight="1">
      <c r="B188" s="9">
        <f t="shared" si="14"/>
        <v>45900</v>
      </c>
      <c r="C188" s="7" t="str">
        <f t="shared" si="13"/>
        <v>日</v>
      </c>
      <c r="D188" s="7" t="str">
        <f>IF(B188="","",IF(COUNTIF(休館日・祝日!$B:$B,$B188)&gt;=1,"休館日",IF(E188="利用申込のない夜間閉館","★18時閉館",IF(C188="日","17時閉館",IF(COUNTIF(休館日・祝日!$E:$E,$B188)&gt;=1,"17時閉館","21時閉館")))))</f>
        <v>17時閉館</v>
      </c>
      <c r="E188" s="10"/>
      <c r="F188" s="147" t="str">
        <f t="shared" si="12"/>
        <v>夜間閉館ではなく17時閉館</v>
      </c>
    </row>
    <row r="189" spans="2:10" ht="24" customHeight="1" thickBot="1"/>
    <row r="190" spans="2:10" ht="24" customHeight="1" thickBot="1">
      <c r="B190" s="72">
        <f>$B$1</f>
        <v>2025</v>
      </c>
      <c r="C190" s="4" t="s">
        <v>9</v>
      </c>
      <c r="F190" s="145" t="s">
        <v>0</v>
      </c>
      <c r="H190" s="21">
        <f>B191</f>
        <v>9</v>
      </c>
      <c r="I190" s="21" t="s">
        <v>28</v>
      </c>
    </row>
    <row r="191" spans="2:10" ht="24" customHeight="1" thickBot="1">
      <c r="B191" s="5">
        <v>9</v>
      </c>
      <c r="C191" s="4" t="s">
        <v>25</v>
      </c>
      <c r="H191" s="22" t="s">
        <v>33</v>
      </c>
      <c r="I191" s="22">
        <f>COUNTIF(E196:E226,H191)</f>
        <v>10</v>
      </c>
      <c r="J191" s="4" t="s">
        <v>51</v>
      </c>
    </row>
    <row r="192" spans="2:10" ht="24" customHeight="1">
      <c r="B192" s="6" t="s">
        <v>26</v>
      </c>
      <c r="F192" s="144"/>
    </row>
    <row r="193" spans="2:6" ht="26.25" customHeight="1">
      <c r="B193" s="4" t="s">
        <v>27</v>
      </c>
      <c r="F193" s="144"/>
    </row>
    <row r="194" spans="2:6" ht="26.25" customHeight="1">
      <c r="F194" s="144"/>
    </row>
    <row r="195" spans="2:6" s="8" customFormat="1" ht="36.75" customHeight="1">
      <c r="B195" s="151"/>
      <c r="C195" s="152"/>
      <c r="D195" s="60" t="s">
        <v>39</v>
      </c>
      <c r="E195" s="58" t="s">
        <v>38</v>
      </c>
      <c r="F195" s="146" t="s">
        <v>30</v>
      </c>
    </row>
    <row r="196" spans="2:6" s="8" customFormat="1" ht="24" customHeight="1">
      <c r="B196" s="9">
        <f>DATE(B190,B191,1)</f>
        <v>45901</v>
      </c>
      <c r="C196" s="7" t="str">
        <f>TEXT(B196,"aaa")</f>
        <v>月</v>
      </c>
      <c r="D196" s="7" t="str">
        <f>IF(B196="","",IF(COUNTIF(休館日・祝日!$B:$B,$B196)&gt;=1,"休館日",IF(E196="利用申込のない夜間閉館","★18時閉館",IF(C196="日","17時閉館",IF(COUNTIF(休館日・祝日!$E:$E,$B196)&gt;=1,"17時閉館","21時閉館")))))</f>
        <v>★18時閉館</v>
      </c>
      <c r="E196" s="10" t="s">
        <v>33</v>
      </c>
      <c r="F196" s="147" t="str">
        <f t="shared" ref="F196:F226" si="15">IF(D196="17時閉館","夜間閉館ではなく17時閉館","")</f>
        <v/>
      </c>
    </row>
    <row r="197" spans="2:6" s="8" customFormat="1" ht="24" customHeight="1">
      <c r="B197" s="9">
        <f>IF(B196="","",IF(MONTH(B196+1)=$B$191,B196+1,""))</f>
        <v>45902</v>
      </c>
      <c r="C197" s="7" t="str">
        <f t="shared" ref="C197:C226" si="16">TEXT(B197,"aaa")</f>
        <v>火</v>
      </c>
      <c r="D197" s="7" t="str">
        <f>IF(B197="","",IF(COUNTIF(休館日・祝日!$B:$B,$B197)&gt;=1,"休館日",IF(E197="利用申込のない夜間閉館","★18時閉館",IF(C197="日","17時閉館",IF(COUNTIF(休館日・祝日!$E:$E,$B197)&gt;=1,"17時閉館","21時閉館")))))</f>
        <v>★18時閉館</v>
      </c>
      <c r="E197" s="10" t="s">
        <v>33</v>
      </c>
      <c r="F197" s="147" t="str">
        <f t="shared" si="15"/>
        <v/>
      </c>
    </row>
    <row r="198" spans="2:6" s="8" customFormat="1" ht="24" customHeight="1">
      <c r="B198" s="9">
        <f t="shared" ref="B198:B226" si="17">IF(B197="","",IF(MONTH(B197+1)=$B$191,B197+1,""))</f>
        <v>45903</v>
      </c>
      <c r="C198" s="7" t="str">
        <f t="shared" si="16"/>
        <v>水</v>
      </c>
      <c r="D198" s="7" t="str">
        <f>IF(B198="","",IF(COUNTIF(休館日・祝日!$B:$B,$B198)&gt;=1,"休館日",IF(E198="利用申込のない夜間閉館","★18時閉館",IF(C198="日","17時閉館",IF(COUNTIF(休館日・祝日!$E:$E,$B198)&gt;=1,"17時閉館","21時閉館")))))</f>
        <v>21時閉館</v>
      </c>
      <c r="E198" s="10"/>
      <c r="F198" s="147" t="str">
        <f t="shared" si="15"/>
        <v/>
      </c>
    </row>
    <row r="199" spans="2:6" s="8" customFormat="1" ht="24" customHeight="1">
      <c r="B199" s="9">
        <f t="shared" si="17"/>
        <v>45904</v>
      </c>
      <c r="C199" s="7" t="str">
        <f t="shared" si="16"/>
        <v>木</v>
      </c>
      <c r="D199" s="7" t="str">
        <f>IF(B199="","",IF(COUNTIF(休館日・祝日!$B:$B,$B199)&gt;=1,"休館日",IF(E199="利用申込のない夜間閉館","★18時閉館",IF(C199="日","17時閉館",IF(COUNTIF(休館日・祝日!$E:$E,$B199)&gt;=1,"17時閉館","21時閉館")))))</f>
        <v>★18時閉館</v>
      </c>
      <c r="E199" s="10" t="s">
        <v>33</v>
      </c>
      <c r="F199" s="147" t="str">
        <f t="shared" si="15"/>
        <v/>
      </c>
    </row>
    <row r="200" spans="2:6" s="8" customFormat="1" ht="24" customHeight="1">
      <c r="B200" s="9">
        <f t="shared" si="17"/>
        <v>45905</v>
      </c>
      <c r="C200" s="7" t="str">
        <f t="shared" si="16"/>
        <v>金</v>
      </c>
      <c r="D200" s="7" t="str">
        <f>IF(B200="","",IF(COUNTIF(休館日・祝日!$B:$B,$B200)&gt;=1,"休館日",IF(E200="利用申込のない夜間閉館","★18時閉館",IF(C200="日","17時閉館",IF(COUNTIF(休館日・祝日!$E:$E,$B200)&gt;=1,"17時閉館","21時閉館")))))</f>
        <v>21時閉館</v>
      </c>
      <c r="E200" s="10"/>
      <c r="F200" s="147" t="str">
        <f t="shared" si="15"/>
        <v/>
      </c>
    </row>
    <row r="201" spans="2:6" s="8" customFormat="1" ht="24" customHeight="1">
      <c r="B201" s="9">
        <f t="shared" si="17"/>
        <v>45906</v>
      </c>
      <c r="C201" s="7" t="str">
        <f t="shared" si="16"/>
        <v>土</v>
      </c>
      <c r="D201" s="7" t="str">
        <f>IF(B201="","",IF(COUNTIF(休館日・祝日!$B:$B,$B201)&gt;=1,"休館日",IF(E201="利用申込のない夜間閉館","★18時閉館",IF(C201="日","17時閉館",IF(COUNTIF(休館日・祝日!$E:$E,$B201)&gt;=1,"17時閉館","21時閉館")))))</f>
        <v>★18時閉館</v>
      </c>
      <c r="E201" s="10" t="s">
        <v>33</v>
      </c>
      <c r="F201" s="147" t="str">
        <f t="shared" si="15"/>
        <v/>
      </c>
    </row>
    <row r="202" spans="2:6" s="8" customFormat="1" ht="24" customHeight="1">
      <c r="B202" s="9">
        <f t="shared" si="17"/>
        <v>45907</v>
      </c>
      <c r="C202" s="7" t="str">
        <f t="shared" si="16"/>
        <v>日</v>
      </c>
      <c r="D202" s="7" t="str">
        <f>IF(B202="","",IF(COUNTIF(休館日・祝日!$B:$B,$B202)&gt;=1,"休館日",IF(E202="利用申込のない夜間閉館","★18時閉館",IF(C202="日","17時閉館",IF(COUNTIF(休館日・祝日!$E:$E,$B202)&gt;=1,"17時閉館","21時閉館")))))</f>
        <v>17時閉館</v>
      </c>
      <c r="E202" s="10"/>
      <c r="F202" s="147" t="str">
        <f t="shared" si="15"/>
        <v>夜間閉館ではなく17時閉館</v>
      </c>
    </row>
    <row r="203" spans="2:6" s="8" customFormat="1" ht="24" customHeight="1">
      <c r="B203" s="9">
        <f t="shared" si="17"/>
        <v>45908</v>
      </c>
      <c r="C203" s="7" t="str">
        <f t="shared" si="16"/>
        <v>月</v>
      </c>
      <c r="D203" s="7" t="str">
        <f>IF(B203="","",IF(COUNTIF(休館日・祝日!$B:$B,$B203)&gt;=1,"休館日",IF(E203="利用申込のない夜間閉館","★18時閉館",IF(C203="日","17時閉館",IF(COUNTIF(休館日・祝日!$E:$E,$B203)&gt;=1,"17時閉館","21時閉館")))))</f>
        <v>★18時閉館</v>
      </c>
      <c r="E203" s="10" t="s">
        <v>33</v>
      </c>
      <c r="F203" s="147" t="str">
        <f t="shared" si="15"/>
        <v/>
      </c>
    </row>
    <row r="204" spans="2:6" s="8" customFormat="1" ht="24" customHeight="1">
      <c r="B204" s="9">
        <f t="shared" si="17"/>
        <v>45909</v>
      </c>
      <c r="C204" s="7" t="str">
        <f t="shared" si="16"/>
        <v>火</v>
      </c>
      <c r="D204" s="7" t="str">
        <f>IF(B204="","",IF(COUNTIF(休館日・祝日!$B:$B,$B204)&gt;=1,"休館日",IF(E204="利用申込のない夜間閉館","★18時閉館",IF(C204="日","17時閉館",IF(COUNTIF(休館日・祝日!$E:$E,$B204)&gt;=1,"17時閉館","21時閉館")))))</f>
        <v>21時閉館</v>
      </c>
      <c r="E204" s="10"/>
      <c r="F204" s="147" t="str">
        <f t="shared" si="15"/>
        <v/>
      </c>
    </row>
    <row r="205" spans="2:6" s="8" customFormat="1" ht="24" customHeight="1">
      <c r="B205" s="9">
        <f t="shared" si="17"/>
        <v>45910</v>
      </c>
      <c r="C205" s="7" t="str">
        <f t="shared" si="16"/>
        <v>水</v>
      </c>
      <c r="D205" s="7" t="str">
        <f>IF(B205="","",IF(COUNTIF(休館日・祝日!$B:$B,$B205)&gt;=1,"休館日",IF(E205="利用申込のない夜間閉館","★18時閉館",IF(C205="日","17時閉館",IF(COUNTIF(休館日・祝日!$E:$E,$B205)&gt;=1,"17時閉館","21時閉館")))))</f>
        <v>21時閉館</v>
      </c>
      <c r="E205" s="10"/>
      <c r="F205" s="147" t="str">
        <f t="shared" si="15"/>
        <v/>
      </c>
    </row>
    <row r="206" spans="2:6" s="8" customFormat="1" ht="24" customHeight="1">
      <c r="B206" s="9">
        <f t="shared" si="17"/>
        <v>45911</v>
      </c>
      <c r="C206" s="7" t="str">
        <f t="shared" si="16"/>
        <v>木</v>
      </c>
      <c r="D206" s="7" t="str">
        <f>IF(B206="","",IF(COUNTIF(休館日・祝日!$B:$B,$B206)&gt;=1,"休館日",IF(E206="利用申込のない夜間閉館","★18時閉館",IF(C206="日","17時閉館",IF(COUNTIF(休館日・祝日!$E:$E,$B206)&gt;=1,"17時閉館","21時閉館")))))</f>
        <v>★18時閉館</v>
      </c>
      <c r="E206" s="10" t="s">
        <v>33</v>
      </c>
      <c r="F206" s="147" t="str">
        <f t="shared" si="15"/>
        <v/>
      </c>
    </row>
    <row r="207" spans="2:6" s="8" customFormat="1" ht="24" customHeight="1">
      <c r="B207" s="9">
        <f t="shared" si="17"/>
        <v>45912</v>
      </c>
      <c r="C207" s="7" t="str">
        <f t="shared" si="16"/>
        <v>金</v>
      </c>
      <c r="D207" s="7" t="str">
        <f>IF(B207="","",IF(COUNTIF(休館日・祝日!$B:$B,$B207)&gt;=1,"休館日",IF(E207="利用申込のない夜間閉館","★18時閉館",IF(C207="日","17時閉館",IF(COUNTIF(休館日・祝日!$E:$E,$B207)&gt;=1,"17時閉館","21時閉館")))))</f>
        <v>21時閉館</v>
      </c>
      <c r="E207" s="10"/>
      <c r="F207" s="147" t="str">
        <f t="shared" si="15"/>
        <v/>
      </c>
    </row>
    <row r="208" spans="2:6" s="8" customFormat="1" ht="24" customHeight="1">
      <c r="B208" s="9">
        <f t="shared" si="17"/>
        <v>45913</v>
      </c>
      <c r="C208" s="7" t="str">
        <f t="shared" si="16"/>
        <v>土</v>
      </c>
      <c r="D208" s="7" t="str">
        <f>IF(B208="","",IF(COUNTIF(休館日・祝日!$B:$B,$B208)&gt;=1,"休館日",IF(E208="利用申込のない夜間閉館","★18時閉館",IF(C208="日","17時閉館",IF(COUNTIF(休館日・祝日!$E:$E,$B208)&gt;=1,"17時閉館","21時閉館")))))</f>
        <v>21時閉館</v>
      </c>
      <c r="E208" s="10"/>
      <c r="F208" s="147" t="str">
        <f t="shared" si="15"/>
        <v/>
      </c>
    </row>
    <row r="209" spans="2:6" s="8" customFormat="1" ht="24" customHeight="1">
      <c r="B209" s="9">
        <f t="shared" si="17"/>
        <v>45914</v>
      </c>
      <c r="C209" s="7" t="str">
        <f t="shared" si="16"/>
        <v>日</v>
      </c>
      <c r="D209" s="7" t="str">
        <f>IF(B209="","",IF(COUNTIF(休館日・祝日!$B:$B,$B209)&gt;=1,"休館日",IF(E209="利用申込のない夜間閉館","★18時閉館",IF(C209="日","17時閉館",IF(COUNTIF(休館日・祝日!$E:$E,$B209)&gt;=1,"17時閉館","21時閉館")))))</f>
        <v>17時閉館</v>
      </c>
      <c r="E209" s="10"/>
      <c r="F209" s="147" t="str">
        <f t="shared" si="15"/>
        <v>夜間閉館ではなく17時閉館</v>
      </c>
    </row>
    <row r="210" spans="2:6" s="8" customFormat="1" ht="24" customHeight="1">
      <c r="B210" s="9">
        <f t="shared" si="17"/>
        <v>45915</v>
      </c>
      <c r="C210" s="7" t="str">
        <f t="shared" si="16"/>
        <v>月</v>
      </c>
      <c r="D210" s="7" t="str">
        <f>IF(B210="","",IF(COUNTIF(休館日・祝日!$B:$B,$B210)&gt;=1,"休館日",IF(E210="利用申込のない夜間閉館","★18時閉館",IF(C210="日","17時閉館",IF(COUNTIF(休館日・祝日!$E:$E,$B210)&gt;=1,"17時閉館","21時閉館")))))</f>
        <v>休館日</v>
      </c>
      <c r="E210" s="10"/>
      <c r="F210" s="147" t="str">
        <f t="shared" si="15"/>
        <v/>
      </c>
    </row>
    <row r="211" spans="2:6" s="8" customFormat="1" ht="24" customHeight="1">
      <c r="B211" s="9">
        <f t="shared" si="17"/>
        <v>45916</v>
      </c>
      <c r="C211" s="7" t="str">
        <f t="shared" si="16"/>
        <v>火</v>
      </c>
      <c r="D211" s="7" t="str">
        <f>IF(B211="","",IF(COUNTIF(休館日・祝日!$B:$B,$B211)&gt;=1,"休館日",IF(E211="利用申込のない夜間閉館","★18時閉館",IF(C211="日","17時閉館",IF(COUNTIF(休館日・祝日!$E:$E,$B211)&gt;=1,"17時閉館","21時閉館")))))</f>
        <v>★18時閉館</v>
      </c>
      <c r="E211" s="10" t="s">
        <v>33</v>
      </c>
      <c r="F211" s="147" t="str">
        <f t="shared" si="15"/>
        <v/>
      </c>
    </row>
    <row r="212" spans="2:6" s="8" customFormat="1" ht="24" customHeight="1">
      <c r="B212" s="9">
        <f t="shared" si="17"/>
        <v>45917</v>
      </c>
      <c r="C212" s="7" t="str">
        <f t="shared" si="16"/>
        <v>水</v>
      </c>
      <c r="D212" s="7" t="str">
        <f>IF(B212="","",IF(COUNTIF(休館日・祝日!$B:$B,$B212)&gt;=1,"休館日",IF(E212="利用申込のない夜間閉館","★18時閉館",IF(C212="日","17時閉館",IF(COUNTIF(休館日・祝日!$E:$E,$B212)&gt;=1,"17時閉館","21時閉館")))))</f>
        <v>21時閉館</v>
      </c>
      <c r="E212" s="10"/>
      <c r="F212" s="147" t="str">
        <f t="shared" si="15"/>
        <v/>
      </c>
    </row>
    <row r="213" spans="2:6" s="8" customFormat="1" ht="24" customHeight="1">
      <c r="B213" s="9">
        <f t="shared" si="17"/>
        <v>45918</v>
      </c>
      <c r="C213" s="7" t="str">
        <f t="shared" si="16"/>
        <v>木</v>
      </c>
      <c r="D213" s="7" t="str">
        <f>IF(B213="","",IF(COUNTIF(休館日・祝日!$B:$B,$B213)&gt;=1,"休館日",IF(E213="利用申込のない夜間閉館","★18時閉館",IF(C213="日","17時閉館",IF(COUNTIF(休館日・祝日!$E:$E,$B213)&gt;=1,"17時閉館","21時閉館")))))</f>
        <v>21時閉館</v>
      </c>
      <c r="E213" s="10"/>
      <c r="F213" s="147" t="str">
        <f t="shared" si="15"/>
        <v/>
      </c>
    </row>
    <row r="214" spans="2:6" s="8" customFormat="1" ht="24" customHeight="1">
      <c r="B214" s="9">
        <f t="shared" si="17"/>
        <v>45919</v>
      </c>
      <c r="C214" s="7" t="str">
        <f t="shared" si="16"/>
        <v>金</v>
      </c>
      <c r="D214" s="7" t="str">
        <f>IF(B214="","",IF(COUNTIF(休館日・祝日!$B:$B,$B214)&gt;=1,"休館日",IF(E214="利用申込のない夜間閉館","★18時閉館",IF(C214="日","17時閉館",IF(COUNTIF(休館日・祝日!$E:$E,$B214)&gt;=1,"17時閉館","21時閉館")))))</f>
        <v>21時閉館</v>
      </c>
      <c r="E214" s="10"/>
      <c r="F214" s="147" t="str">
        <f t="shared" si="15"/>
        <v/>
      </c>
    </row>
    <row r="215" spans="2:6" s="8" customFormat="1" ht="24" customHeight="1">
      <c r="B215" s="9">
        <f t="shared" si="17"/>
        <v>45920</v>
      </c>
      <c r="C215" s="7" t="str">
        <f t="shared" si="16"/>
        <v>土</v>
      </c>
      <c r="D215" s="7" t="str">
        <f>IF(B215="","",IF(COUNTIF(休館日・祝日!$B:$B,$B215)&gt;=1,"休館日",IF(E215="利用申込のない夜間閉館","★18時閉館",IF(C215="日","17時閉館",IF(COUNTIF(休館日・祝日!$E:$E,$B215)&gt;=1,"17時閉館","21時閉館")))))</f>
        <v>21時閉館</v>
      </c>
      <c r="E215" s="10"/>
      <c r="F215" s="147" t="str">
        <f t="shared" si="15"/>
        <v/>
      </c>
    </row>
    <row r="216" spans="2:6" s="8" customFormat="1" ht="24" customHeight="1">
      <c r="B216" s="9">
        <f t="shared" si="17"/>
        <v>45921</v>
      </c>
      <c r="C216" s="7" t="str">
        <f t="shared" si="16"/>
        <v>日</v>
      </c>
      <c r="D216" s="7" t="str">
        <f>IF(B216="","",IF(COUNTIF(休館日・祝日!$B:$B,$B216)&gt;=1,"休館日",IF(E216="利用申込のない夜間閉館","★18時閉館",IF(C216="日","17時閉館",IF(COUNTIF(休館日・祝日!$E:$E,$B216)&gt;=1,"17時閉館","21時閉館")))))</f>
        <v>17時閉館</v>
      </c>
      <c r="E216" s="10"/>
      <c r="F216" s="147" t="str">
        <f t="shared" si="15"/>
        <v>夜間閉館ではなく17時閉館</v>
      </c>
    </row>
    <row r="217" spans="2:6" s="8" customFormat="1" ht="24" customHeight="1">
      <c r="B217" s="9">
        <f t="shared" si="17"/>
        <v>45922</v>
      </c>
      <c r="C217" s="7" t="str">
        <f t="shared" si="16"/>
        <v>月</v>
      </c>
      <c r="D217" s="7" t="str">
        <f>IF(B217="","",IF(COUNTIF(休館日・祝日!$B:$B,$B217)&gt;=1,"休館日",IF(E217="利用申込のない夜間閉館","★18時閉館",IF(C217="日","17時閉館",IF(COUNTIF(休館日・祝日!$E:$E,$B217)&gt;=1,"17時閉館","21時閉館")))))</f>
        <v>★18時閉館</v>
      </c>
      <c r="E217" s="10" t="s">
        <v>33</v>
      </c>
      <c r="F217" s="147" t="str">
        <f t="shared" si="15"/>
        <v/>
      </c>
    </row>
    <row r="218" spans="2:6" s="8" customFormat="1" ht="24" customHeight="1">
      <c r="B218" s="9">
        <f t="shared" si="17"/>
        <v>45923</v>
      </c>
      <c r="C218" s="7" t="str">
        <f t="shared" si="16"/>
        <v>火</v>
      </c>
      <c r="D218" s="7" t="str">
        <f>IF(B218="","",IF(COUNTIF(休館日・祝日!$B:$B,$B218)&gt;=1,"休館日",IF(E218="利用申込のない夜間閉館","★18時閉館",IF(C218="日","17時閉館",IF(COUNTIF(休館日・祝日!$E:$E,$B218)&gt;=1,"17時閉館","21時閉館")))))</f>
        <v>17時閉館</v>
      </c>
      <c r="E218" s="10"/>
      <c r="F218" s="147" t="str">
        <f t="shared" si="15"/>
        <v>夜間閉館ではなく17時閉館</v>
      </c>
    </row>
    <row r="219" spans="2:6" s="8" customFormat="1" ht="24" customHeight="1">
      <c r="B219" s="9">
        <f t="shared" si="17"/>
        <v>45924</v>
      </c>
      <c r="C219" s="7" t="str">
        <f t="shared" si="16"/>
        <v>水</v>
      </c>
      <c r="D219" s="7" t="str">
        <f>IF(B219="","",IF(COUNTIF(休館日・祝日!$B:$B,$B219)&gt;=1,"休館日",IF(E219="利用申込のない夜間閉館","★18時閉館",IF(C219="日","17時閉館",IF(COUNTIF(休館日・祝日!$E:$E,$B219)&gt;=1,"17時閉館","21時閉館")))))</f>
        <v>21時閉館</v>
      </c>
      <c r="E219" s="10"/>
      <c r="F219" s="147" t="str">
        <f t="shared" si="15"/>
        <v/>
      </c>
    </row>
    <row r="220" spans="2:6" s="8" customFormat="1" ht="24" customHeight="1">
      <c r="B220" s="9">
        <f t="shared" si="17"/>
        <v>45925</v>
      </c>
      <c r="C220" s="7" t="str">
        <f t="shared" si="16"/>
        <v>木</v>
      </c>
      <c r="D220" s="7" t="str">
        <f>IF(B220="","",IF(COUNTIF(休館日・祝日!$B:$B,$B220)&gt;=1,"休館日",IF(E220="利用申込のない夜間閉館","★18時閉館",IF(C220="日","17時閉館",IF(COUNTIF(休館日・祝日!$E:$E,$B220)&gt;=1,"17時閉館","21時閉館")))))</f>
        <v>★18時閉館</v>
      </c>
      <c r="E220" s="10" t="s">
        <v>33</v>
      </c>
      <c r="F220" s="147" t="str">
        <f t="shared" si="15"/>
        <v/>
      </c>
    </row>
    <row r="221" spans="2:6" s="8" customFormat="1" ht="24" customHeight="1">
      <c r="B221" s="9">
        <f t="shared" si="17"/>
        <v>45926</v>
      </c>
      <c r="C221" s="7" t="str">
        <f t="shared" si="16"/>
        <v>金</v>
      </c>
      <c r="D221" s="7" t="str">
        <f>IF(B221="","",IF(COUNTIF(休館日・祝日!$B:$B,$B221)&gt;=1,"休館日",IF(E221="利用申込のない夜間閉館","★18時閉館",IF(C221="日","17時閉館",IF(COUNTIF(休館日・祝日!$E:$E,$B221)&gt;=1,"17時閉館","21時閉館")))))</f>
        <v>21時閉館</v>
      </c>
      <c r="E221" s="10"/>
      <c r="F221" s="147" t="str">
        <f t="shared" si="15"/>
        <v/>
      </c>
    </row>
    <row r="222" spans="2:6" s="8" customFormat="1" ht="24" customHeight="1">
      <c r="B222" s="9">
        <f t="shared" si="17"/>
        <v>45927</v>
      </c>
      <c r="C222" s="7" t="str">
        <f t="shared" si="16"/>
        <v>土</v>
      </c>
      <c r="D222" s="7" t="str">
        <f>IF(B222="","",IF(COUNTIF(休館日・祝日!$B:$B,$B222)&gt;=1,"休館日",IF(E222="利用申込のない夜間閉館","★18時閉館",IF(C222="日","17時閉館",IF(COUNTIF(休館日・祝日!$E:$E,$B222)&gt;=1,"17時閉館","21時閉館")))))</f>
        <v>★18時閉館</v>
      </c>
      <c r="E222" s="10" t="s">
        <v>33</v>
      </c>
      <c r="F222" s="147" t="str">
        <f t="shared" si="15"/>
        <v/>
      </c>
    </row>
    <row r="223" spans="2:6" s="8" customFormat="1" ht="24" customHeight="1">
      <c r="B223" s="9">
        <f t="shared" si="17"/>
        <v>45928</v>
      </c>
      <c r="C223" s="7" t="str">
        <f t="shared" si="16"/>
        <v>日</v>
      </c>
      <c r="D223" s="7" t="str">
        <f>IF(B223="","",IF(COUNTIF(休館日・祝日!$B:$B,$B223)&gt;=1,"休館日",IF(E223="利用申込のない夜間閉館","★18時閉館",IF(C223="日","17時閉館",IF(COUNTIF(休館日・祝日!$E:$E,$B223)&gt;=1,"17時閉館","21時閉館")))))</f>
        <v>17時閉館</v>
      </c>
      <c r="E223" s="10"/>
      <c r="F223" s="147" t="str">
        <f t="shared" si="15"/>
        <v>夜間閉館ではなく17時閉館</v>
      </c>
    </row>
    <row r="224" spans="2:6" s="8" customFormat="1" ht="24" customHeight="1">
      <c r="B224" s="9">
        <f t="shared" si="17"/>
        <v>45929</v>
      </c>
      <c r="C224" s="7" t="str">
        <f t="shared" si="16"/>
        <v>月</v>
      </c>
      <c r="D224" s="7" t="str">
        <f>IF(B224="","",IF(COUNTIF(休館日・祝日!$B:$B,$B224)&gt;=1,"休館日",IF(E224="利用申込のない夜間閉館","★18時閉館",IF(C224="日","17時閉館",IF(COUNTIF(休館日・祝日!$E:$E,$B224)&gt;=1,"17時閉館","21時閉館")))))</f>
        <v>21時閉館</v>
      </c>
      <c r="E224" s="10"/>
      <c r="F224" s="147" t="str">
        <f t="shared" si="15"/>
        <v/>
      </c>
    </row>
    <row r="225" spans="2:10" s="8" customFormat="1" ht="24" customHeight="1">
      <c r="B225" s="9">
        <f t="shared" si="17"/>
        <v>45930</v>
      </c>
      <c r="C225" s="7" t="str">
        <f t="shared" si="16"/>
        <v>火</v>
      </c>
      <c r="D225" s="7" t="str">
        <f>IF(B225="","",IF(COUNTIF(休館日・祝日!$B:$B,$B225)&gt;=1,"休館日",IF(E225="利用申込のない夜間閉館","★18時閉館",IF(C225="日","17時閉館",IF(COUNTIF(休館日・祝日!$E:$E,$B225)&gt;=1,"17時閉館","21時閉館")))))</f>
        <v>21時閉館</v>
      </c>
      <c r="E225" s="10"/>
      <c r="F225" s="147" t="str">
        <f t="shared" si="15"/>
        <v/>
      </c>
    </row>
    <row r="226" spans="2:10" s="8" customFormat="1" ht="24" customHeight="1">
      <c r="B226" s="9" t="str">
        <f t="shared" si="17"/>
        <v/>
      </c>
      <c r="C226" s="7" t="str">
        <f t="shared" si="16"/>
        <v/>
      </c>
      <c r="D226" s="7" t="str">
        <f>IF(B226="","",IF(COUNTIF(休館日・祝日!$B:$B,$B226)&gt;=1,"休館日",IF(E226="利用申込のない夜間閉館","★18時閉館",IF(C226="日","17時閉館",IF(COUNTIF(休館日・祝日!$E:$E,$B226)&gt;=1,"17時閉館","21時閉館")))))</f>
        <v/>
      </c>
      <c r="E226" s="10" t="str">
        <f>IF(B226="","",IF(OR(#REF!&lt;&gt;"",#REF!&lt;&gt;"",#REF!&lt;&gt;"",#REF!&lt;&gt;"",#REF!&lt;&gt;""),"開館",IF(C226="日","その他閉館",IF(COUNTIF(休館日・祝日!$B:$B,$B226)+COUNTIF(休館日・祝日!$E:$E,$B226)&gt;=1,"その他閉館","申込無し閉館"))))</f>
        <v/>
      </c>
      <c r="F226" s="147" t="str">
        <f t="shared" si="15"/>
        <v/>
      </c>
    </row>
    <row r="227" spans="2:10" ht="24" customHeight="1" thickBot="1"/>
    <row r="228" spans="2:10" ht="24" customHeight="1" thickBot="1">
      <c r="B228" s="72">
        <f>$B$1</f>
        <v>2025</v>
      </c>
      <c r="C228" s="4" t="s">
        <v>9</v>
      </c>
      <c r="F228" s="145" t="s">
        <v>0</v>
      </c>
      <c r="H228" s="21">
        <f>B229</f>
        <v>10</v>
      </c>
      <c r="I228" s="21" t="s">
        <v>28</v>
      </c>
    </row>
    <row r="229" spans="2:10" ht="24" customHeight="1" thickBot="1">
      <c r="B229" s="5">
        <v>10</v>
      </c>
      <c r="C229" s="4" t="s">
        <v>25</v>
      </c>
      <c r="H229" s="22" t="s">
        <v>33</v>
      </c>
      <c r="I229" s="22">
        <f>COUNTIF(E234:E264,H229)</f>
        <v>9</v>
      </c>
      <c r="J229" s="4" t="s">
        <v>51</v>
      </c>
    </row>
    <row r="230" spans="2:10" ht="24" customHeight="1">
      <c r="B230" s="6" t="s">
        <v>26</v>
      </c>
      <c r="F230" s="144"/>
    </row>
    <row r="231" spans="2:10" ht="26.25" customHeight="1">
      <c r="B231" s="4" t="s">
        <v>27</v>
      </c>
      <c r="F231" s="144"/>
    </row>
    <row r="232" spans="2:10" ht="26.25" customHeight="1">
      <c r="F232" s="144"/>
    </row>
    <row r="233" spans="2:10" s="8" customFormat="1" ht="36.75" customHeight="1">
      <c r="B233" s="151"/>
      <c r="C233" s="152"/>
      <c r="D233" s="60" t="s">
        <v>39</v>
      </c>
      <c r="E233" s="58" t="s">
        <v>38</v>
      </c>
      <c r="F233" s="146" t="s">
        <v>30</v>
      </c>
    </row>
    <row r="234" spans="2:10" s="8" customFormat="1" ht="24" customHeight="1">
      <c r="B234" s="9">
        <f>DATE(B228,B229,1)</f>
        <v>45931</v>
      </c>
      <c r="C234" s="7" t="str">
        <f>TEXT(B234,"aaa")</f>
        <v>水</v>
      </c>
      <c r="D234" s="7" t="str">
        <f>IF(B234="","",IF(COUNTIF(休館日・祝日!$B:$B,$B234)&gt;=1,"休館日",IF(E234="利用申込のない夜間閉館","★18時閉館",IF(C234="日","17時閉館",IF(COUNTIF(休館日・祝日!$E:$E,$B234)&gt;=1,"17時閉館","21時閉館")))))</f>
        <v>21時閉館</v>
      </c>
      <c r="E234" s="10"/>
      <c r="F234" s="147" t="str">
        <f t="shared" ref="F234:F264" si="18">IF(D234="17時閉館","夜間閉館ではなく17時閉館","")</f>
        <v/>
      </c>
    </row>
    <row r="235" spans="2:10" s="8" customFormat="1" ht="24" customHeight="1">
      <c r="B235" s="9">
        <f>IF(B234="","",IF(MONTH(B234+1)=$B$229,B234+1,""))</f>
        <v>45932</v>
      </c>
      <c r="C235" s="7" t="str">
        <f t="shared" ref="C235:C264" si="19">TEXT(B235,"aaa")</f>
        <v>木</v>
      </c>
      <c r="D235" s="7" t="str">
        <f>IF(B235="","",IF(COUNTIF(休館日・祝日!$B:$B,$B235)&gt;=1,"休館日",IF(E235="利用申込のない夜間閉館","★18時閉館",IF(C235="日","17時閉館",IF(COUNTIF(休館日・祝日!$E:$E,$B235)&gt;=1,"17時閉館","21時閉館")))))</f>
        <v>★18時閉館</v>
      </c>
      <c r="E235" s="10" t="s">
        <v>33</v>
      </c>
      <c r="F235" s="147" t="str">
        <f t="shared" si="18"/>
        <v/>
      </c>
    </row>
    <row r="236" spans="2:10" s="8" customFormat="1" ht="24" customHeight="1">
      <c r="B236" s="9">
        <f t="shared" ref="B236:B264" si="20">IF(B235="","",IF(MONTH(B235+1)=$B$229,B235+1,""))</f>
        <v>45933</v>
      </c>
      <c r="C236" s="7" t="str">
        <f t="shared" si="19"/>
        <v>金</v>
      </c>
      <c r="D236" s="7" t="str">
        <f>IF(B236="","",IF(COUNTIF(休館日・祝日!$B:$B,$B236)&gt;=1,"休館日",IF(E236="利用申込のない夜間閉館","★18時閉館",IF(C236="日","17時閉館",IF(COUNTIF(休館日・祝日!$E:$E,$B236)&gt;=1,"17時閉館","21時閉館")))))</f>
        <v>21時閉館</v>
      </c>
      <c r="E236" s="10"/>
      <c r="F236" s="147" t="str">
        <f t="shared" si="18"/>
        <v/>
      </c>
    </row>
    <row r="237" spans="2:10" s="8" customFormat="1" ht="24" customHeight="1">
      <c r="B237" s="9">
        <f t="shared" si="20"/>
        <v>45934</v>
      </c>
      <c r="C237" s="7" t="str">
        <f t="shared" si="19"/>
        <v>土</v>
      </c>
      <c r="D237" s="7" t="str">
        <f>IF(B237="","",IF(COUNTIF(休館日・祝日!$B:$B,$B237)&gt;=1,"休館日",IF(E237="利用申込のない夜間閉館","★18時閉館",IF(C237="日","17時閉館",IF(COUNTIF(休館日・祝日!$E:$E,$B237)&gt;=1,"17時閉館","21時閉館")))))</f>
        <v>21時閉館</v>
      </c>
      <c r="E237" s="10"/>
      <c r="F237" s="147" t="str">
        <f t="shared" si="18"/>
        <v/>
      </c>
    </row>
    <row r="238" spans="2:10" s="8" customFormat="1" ht="24" customHeight="1">
      <c r="B238" s="9">
        <f t="shared" si="20"/>
        <v>45935</v>
      </c>
      <c r="C238" s="7" t="str">
        <f t="shared" si="19"/>
        <v>日</v>
      </c>
      <c r="D238" s="7" t="str">
        <f>IF(B238="","",IF(COUNTIF(休館日・祝日!$B:$B,$B238)&gt;=1,"休館日",IF(E238="利用申込のない夜間閉館","★18時閉館",IF(C238="日","17時閉館",IF(COUNTIF(休館日・祝日!$E:$E,$B238)&gt;=1,"17時閉館","21時閉館")))))</f>
        <v>17時閉館</v>
      </c>
      <c r="E238" s="10"/>
      <c r="F238" s="147" t="str">
        <f t="shared" si="18"/>
        <v>夜間閉館ではなく17時閉館</v>
      </c>
    </row>
    <row r="239" spans="2:10" s="8" customFormat="1" ht="24" customHeight="1">
      <c r="B239" s="9">
        <f t="shared" si="20"/>
        <v>45936</v>
      </c>
      <c r="C239" s="7" t="str">
        <f t="shared" si="19"/>
        <v>月</v>
      </c>
      <c r="D239" s="7" t="str">
        <f>IF(B239="","",IF(COUNTIF(休館日・祝日!$B:$B,$B239)&gt;=1,"休館日",IF(E239="利用申込のない夜間閉館","★18時閉館",IF(C239="日","17時閉館",IF(COUNTIF(休館日・祝日!$E:$E,$B239)&gt;=1,"17時閉館","21時閉館")))))</f>
        <v>★18時閉館</v>
      </c>
      <c r="E239" s="10" t="s">
        <v>33</v>
      </c>
      <c r="F239" s="147" t="str">
        <f t="shared" si="18"/>
        <v/>
      </c>
    </row>
    <row r="240" spans="2:10" s="8" customFormat="1" ht="24" customHeight="1">
      <c r="B240" s="9">
        <f t="shared" si="20"/>
        <v>45937</v>
      </c>
      <c r="C240" s="7" t="str">
        <f t="shared" si="19"/>
        <v>火</v>
      </c>
      <c r="D240" s="7" t="str">
        <f>IF(B240="","",IF(COUNTIF(休館日・祝日!$B:$B,$B240)&gt;=1,"休館日",IF(E240="利用申込のない夜間閉館","★18時閉館",IF(C240="日","17時閉館",IF(COUNTIF(休館日・祝日!$E:$E,$B240)&gt;=1,"17時閉館","21時閉館")))))</f>
        <v>★18時閉館</v>
      </c>
      <c r="E240" s="10" t="s">
        <v>33</v>
      </c>
      <c r="F240" s="147" t="str">
        <f t="shared" si="18"/>
        <v/>
      </c>
    </row>
    <row r="241" spans="2:6" s="8" customFormat="1" ht="24" customHeight="1">
      <c r="B241" s="9">
        <f t="shared" si="20"/>
        <v>45938</v>
      </c>
      <c r="C241" s="7" t="str">
        <f t="shared" si="19"/>
        <v>水</v>
      </c>
      <c r="D241" s="7" t="str">
        <f>IF(B241="","",IF(COUNTIF(休館日・祝日!$B:$B,$B241)&gt;=1,"休館日",IF(E241="利用申込のない夜間閉館","★18時閉館",IF(C241="日","17時閉館",IF(COUNTIF(休館日・祝日!$E:$E,$B241)&gt;=1,"17時閉館","21時閉館")))))</f>
        <v>21時閉館</v>
      </c>
      <c r="E241" s="10"/>
      <c r="F241" s="147" t="str">
        <f t="shared" si="18"/>
        <v/>
      </c>
    </row>
    <row r="242" spans="2:6" s="8" customFormat="1" ht="24" customHeight="1">
      <c r="B242" s="9">
        <f t="shared" si="20"/>
        <v>45939</v>
      </c>
      <c r="C242" s="7" t="str">
        <f t="shared" si="19"/>
        <v>木</v>
      </c>
      <c r="D242" s="7" t="str">
        <f>IF(B242="","",IF(COUNTIF(休館日・祝日!$B:$B,$B242)&gt;=1,"休館日",IF(E242="利用申込のない夜間閉館","★18時閉館",IF(C242="日","17時閉館",IF(COUNTIF(休館日・祝日!$E:$E,$B242)&gt;=1,"17時閉館","21時閉館")))))</f>
        <v>★18時閉館</v>
      </c>
      <c r="E242" s="10" t="s">
        <v>33</v>
      </c>
      <c r="F242" s="147" t="str">
        <f t="shared" si="18"/>
        <v/>
      </c>
    </row>
    <row r="243" spans="2:6" s="8" customFormat="1" ht="24" customHeight="1">
      <c r="B243" s="9">
        <f t="shared" si="20"/>
        <v>45940</v>
      </c>
      <c r="C243" s="7" t="str">
        <f t="shared" si="19"/>
        <v>金</v>
      </c>
      <c r="D243" s="7" t="str">
        <f>IF(B243="","",IF(COUNTIF(休館日・祝日!$B:$B,$B243)&gt;=1,"休館日",IF(E243="利用申込のない夜間閉館","★18時閉館",IF(C243="日","17時閉館",IF(COUNTIF(休館日・祝日!$E:$E,$B243)&gt;=1,"17時閉館","21時閉館")))))</f>
        <v>21時閉館</v>
      </c>
      <c r="E243" s="10"/>
      <c r="F243" s="147" t="str">
        <f t="shared" si="18"/>
        <v/>
      </c>
    </row>
    <row r="244" spans="2:6" s="8" customFormat="1" ht="24" customHeight="1">
      <c r="B244" s="9">
        <f t="shared" si="20"/>
        <v>45941</v>
      </c>
      <c r="C244" s="7" t="str">
        <f t="shared" si="19"/>
        <v>土</v>
      </c>
      <c r="D244" s="7" t="str">
        <f>IF(B244="","",IF(COUNTIF(休館日・祝日!$B:$B,$B244)&gt;=1,"休館日",IF(E244="利用申込のない夜間閉館","★18時閉館",IF(C244="日","17時閉館",IF(COUNTIF(休館日・祝日!$E:$E,$B244)&gt;=1,"17時閉館","21時閉館")))))</f>
        <v>★18時閉館</v>
      </c>
      <c r="E244" s="10" t="s">
        <v>33</v>
      </c>
      <c r="F244" s="147" t="str">
        <f t="shared" si="18"/>
        <v/>
      </c>
    </row>
    <row r="245" spans="2:6" s="8" customFormat="1" ht="24" customHeight="1">
      <c r="B245" s="9">
        <f t="shared" si="20"/>
        <v>45942</v>
      </c>
      <c r="C245" s="7" t="str">
        <f t="shared" si="19"/>
        <v>日</v>
      </c>
      <c r="D245" s="7" t="str">
        <f>IF(B245="","",IF(COUNTIF(休館日・祝日!$B:$B,$B245)&gt;=1,"休館日",IF(E245="利用申込のない夜間閉館","★18時閉館",IF(C245="日","17時閉館",IF(COUNTIF(休館日・祝日!$E:$E,$B245)&gt;=1,"17時閉館","21時閉館")))))</f>
        <v>17時閉館</v>
      </c>
      <c r="E245" s="10"/>
      <c r="F245" s="147" t="str">
        <f t="shared" si="18"/>
        <v>夜間閉館ではなく17時閉館</v>
      </c>
    </row>
    <row r="246" spans="2:6" s="8" customFormat="1" ht="24" customHeight="1">
      <c r="B246" s="9">
        <f t="shared" si="20"/>
        <v>45943</v>
      </c>
      <c r="C246" s="7" t="str">
        <f t="shared" si="19"/>
        <v>月</v>
      </c>
      <c r="D246" s="7" t="str">
        <f>IF(B246="","",IF(COUNTIF(休館日・祝日!$B:$B,$B246)&gt;=1,"休館日",IF(E246="利用申込のない夜間閉館","★18時閉館",IF(C246="日","17時閉館",IF(COUNTIF(休館日・祝日!$E:$E,$B246)&gt;=1,"17時閉館","21時閉館")))))</f>
        <v>17時閉館</v>
      </c>
      <c r="E246" s="10"/>
      <c r="F246" s="147" t="str">
        <f t="shared" si="18"/>
        <v>夜間閉館ではなく17時閉館</v>
      </c>
    </row>
    <row r="247" spans="2:6" s="8" customFormat="1" ht="24" customHeight="1">
      <c r="B247" s="9">
        <f t="shared" si="20"/>
        <v>45944</v>
      </c>
      <c r="C247" s="7" t="str">
        <f t="shared" si="19"/>
        <v>火</v>
      </c>
      <c r="D247" s="7" t="str">
        <f>IF(B247="","",IF(COUNTIF(休館日・祝日!$B:$B,$B247)&gt;=1,"休館日",IF(E247="利用申込のない夜間閉館","★18時閉館",IF(C247="日","17時閉館",IF(COUNTIF(休館日・祝日!$E:$E,$B247)&gt;=1,"17時閉館","21時閉館")))))</f>
        <v>21時閉館</v>
      </c>
      <c r="E247" s="10"/>
      <c r="F247" s="147" t="str">
        <f t="shared" si="18"/>
        <v/>
      </c>
    </row>
    <row r="248" spans="2:6" s="8" customFormat="1" ht="24" customHeight="1">
      <c r="B248" s="9">
        <f t="shared" si="20"/>
        <v>45945</v>
      </c>
      <c r="C248" s="7" t="str">
        <f t="shared" si="19"/>
        <v>水</v>
      </c>
      <c r="D248" s="7" t="str">
        <f>IF(B248="","",IF(COUNTIF(休館日・祝日!$B:$B,$B248)&gt;=1,"休館日",IF(E248="利用申込のない夜間閉館","★18時閉館",IF(C248="日","17時閉館",IF(COUNTIF(休館日・祝日!$E:$E,$B248)&gt;=1,"17時閉館","21時閉館")))))</f>
        <v>21時閉館</v>
      </c>
      <c r="E248" s="10"/>
      <c r="F248" s="147" t="str">
        <f t="shared" si="18"/>
        <v/>
      </c>
    </row>
    <row r="249" spans="2:6" s="8" customFormat="1" ht="24" customHeight="1">
      <c r="B249" s="9">
        <f t="shared" si="20"/>
        <v>45946</v>
      </c>
      <c r="C249" s="7" t="str">
        <f t="shared" si="19"/>
        <v>木</v>
      </c>
      <c r="D249" s="7" t="str">
        <f>IF(B249="","",IF(COUNTIF(休館日・祝日!$B:$B,$B249)&gt;=1,"休館日",IF(E249="利用申込のない夜間閉館","★18時閉館",IF(C249="日","17時閉館",IF(COUNTIF(休館日・祝日!$E:$E,$B249)&gt;=1,"17時閉館","21時閉館")))))</f>
        <v>21時閉館</v>
      </c>
      <c r="E249" s="10"/>
      <c r="F249" s="147" t="str">
        <f t="shared" si="18"/>
        <v/>
      </c>
    </row>
    <row r="250" spans="2:6" s="8" customFormat="1" ht="24" customHeight="1">
      <c r="B250" s="9">
        <f t="shared" si="20"/>
        <v>45947</v>
      </c>
      <c r="C250" s="7" t="str">
        <f t="shared" si="19"/>
        <v>金</v>
      </c>
      <c r="D250" s="7" t="str">
        <f>IF(B250="","",IF(COUNTIF(休館日・祝日!$B:$B,$B250)&gt;=1,"休館日",IF(E250="利用申込のない夜間閉館","★18時閉館",IF(C250="日","17時閉館",IF(COUNTIF(休館日・祝日!$E:$E,$B250)&gt;=1,"17時閉館","21時閉館")))))</f>
        <v>21時閉館</v>
      </c>
      <c r="E250" s="10"/>
      <c r="F250" s="147" t="str">
        <f t="shared" si="18"/>
        <v/>
      </c>
    </row>
    <row r="251" spans="2:6" s="8" customFormat="1" ht="24" customHeight="1">
      <c r="B251" s="9">
        <f t="shared" si="20"/>
        <v>45948</v>
      </c>
      <c r="C251" s="7" t="str">
        <f t="shared" si="19"/>
        <v>土</v>
      </c>
      <c r="D251" s="7" t="str">
        <f>IF(B251="","",IF(COUNTIF(休館日・祝日!$B:$B,$B251)&gt;=1,"休館日",IF(E251="利用申込のない夜間閉館","★18時閉館",IF(C251="日","17時閉館",IF(COUNTIF(休館日・祝日!$E:$E,$B251)&gt;=1,"17時閉館","21時閉館")))))</f>
        <v>21時閉館</v>
      </c>
      <c r="E251" s="10"/>
      <c r="F251" s="147" t="str">
        <f t="shared" si="18"/>
        <v/>
      </c>
    </row>
    <row r="252" spans="2:6" s="8" customFormat="1" ht="24" customHeight="1">
      <c r="B252" s="9">
        <f t="shared" si="20"/>
        <v>45949</v>
      </c>
      <c r="C252" s="7" t="str">
        <f t="shared" si="19"/>
        <v>日</v>
      </c>
      <c r="D252" s="7" t="str">
        <f>IF(B252="","",IF(COUNTIF(休館日・祝日!$B:$B,$B252)&gt;=1,"休館日",IF(E252="利用申込のない夜間閉館","★18時閉館",IF(C252="日","17時閉館",IF(COUNTIF(休館日・祝日!$E:$E,$B252)&gt;=1,"17時閉館","21時閉館")))))</f>
        <v>17時閉館</v>
      </c>
      <c r="E252" s="10"/>
      <c r="F252" s="147" t="str">
        <f t="shared" si="18"/>
        <v>夜間閉館ではなく17時閉館</v>
      </c>
    </row>
    <row r="253" spans="2:6" s="8" customFormat="1" ht="24" customHeight="1">
      <c r="B253" s="9">
        <f t="shared" si="20"/>
        <v>45950</v>
      </c>
      <c r="C253" s="7" t="str">
        <f t="shared" si="19"/>
        <v>月</v>
      </c>
      <c r="D253" s="7" t="str">
        <f>IF(B253="","",IF(COUNTIF(休館日・祝日!$B:$B,$B253)&gt;=1,"休館日",IF(E253="利用申込のない夜間閉館","★18時閉館",IF(C253="日","17時閉館",IF(COUNTIF(休館日・祝日!$E:$E,$B253)&gt;=1,"17時閉館","21時閉館")))))</f>
        <v>休館日</v>
      </c>
      <c r="E253" s="10"/>
      <c r="F253" s="147" t="str">
        <f t="shared" si="18"/>
        <v/>
      </c>
    </row>
    <row r="254" spans="2:6" s="8" customFormat="1" ht="24" customHeight="1">
      <c r="B254" s="9">
        <f t="shared" si="20"/>
        <v>45951</v>
      </c>
      <c r="C254" s="7" t="str">
        <f t="shared" si="19"/>
        <v>火</v>
      </c>
      <c r="D254" s="7" t="str">
        <f>IF(B254="","",IF(COUNTIF(休館日・祝日!$B:$B,$B254)&gt;=1,"休館日",IF(E254="利用申込のない夜間閉館","★18時閉館",IF(C254="日","17時閉館",IF(COUNTIF(休館日・祝日!$E:$E,$B254)&gt;=1,"17時閉館","21時閉館")))))</f>
        <v>★18時閉館</v>
      </c>
      <c r="E254" s="10" t="s">
        <v>33</v>
      </c>
      <c r="F254" s="147" t="str">
        <f t="shared" si="18"/>
        <v/>
      </c>
    </row>
    <row r="255" spans="2:6" s="8" customFormat="1" ht="24" customHeight="1">
      <c r="B255" s="9">
        <f t="shared" si="20"/>
        <v>45952</v>
      </c>
      <c r="C255" s="7" t="str">
        <f t="shared" si="19"/>
        <v>水</v>
      </c>
      <c r="D255" s="7" t="str">
        <f>IF(B255="","",IF(COUNTIF(休館日・祝日!$B:$B,$B255)&gt;=1,"休館日",IF(E255="利用申込のない夜間閉館","★18時閉館",IF(C255="日","17時閉館",IF(COUNTIF(休館日・祝日!$E:$E,$B255)&gt;=1,"17時閉館","21時閉館")))))</f>
        <v>21時閉館</v>
      </c>
      <c r="E255" s="10"/>
      <c r="F255" s="147" t="str">
        <f t="shared" si="18"/>
        <v/>
      </c>
    </row>
    <row r="256" spans="2:6" s="8" customFormat="1" ht="24" customHeight="1">
      <c r="B256" s="9">
        <f t="shared" si="20"/>
        <v>45953</v>
      </c>
      <c r="C256" s="7" t="str">
        <f t="shared" si="19"/>
        <v>木</v>
      </c>
      <c r="D256" s="7" t="str">
        <f>IF(B256="","",IF(COUNTIF(休館日・祝日!$B:$B,$B256)&gt;=1,"休館日",IF(E256="利用申込のない夜間閉館","★18時閉館",IF(C256="日","17時閉館",IF(COUNTIF(休館日・祝日!$E:$E,$B256)&gt;=1,"17時閉館","21時閉館")))))</f>
        <v>★18時閉館</v>
      </c>
      <c r="E256" s="10" t="s">
        <v>33</v>
      </c>
      <c r="F256" s="147" t="str">
        <f t="shared" si="18"/>
        <v/>
      </c>
    </row>
    <row r="257" spans="2:10" s="8" customFormat="1" ht="24" customHeight="1">
      <c r="B257" s="9">
        <f t="shared" si="20"/>
        <v>45954</v>
      </c>
      <c r="C257" s="7" t="str">
        <f t="shared" si="19"/>
        <v>金</v>
      </c>
      <c r="D257" s="7" t="str">
        <f>IF(B257="","",IF(COUNTIF(休館日・祝日!$B:$B,$B257)&gt;=1,"休館日",IF(E257="利用申込のない夜間閉館","★18時閉館",IF(C257="日","17時閉館",IF(COUNTIF(休館日・祝日!$E:$E,$B257)&gt;=1,"17時閉館","21時閉館")))))</f>
        <v>21時閉館</v>
      </c>
      <c r="E257" s="10"/>
      <c r="F257" s="147" t="str">
        <f t="shared" si="18"/>
        <v/>
      </c>
    </row>
    <row r="258" spans="2:10" s="8" customFormat="1" ht="24" customHeight="1">
      <c r="B258" s="9">
        <f t="shared" si="20"/>
        <v>45955</v>
      </c>
      <c r="C258" s="7" t="str">
        <f t="shared" si="19"/>
        <v>土</v>
      </c>
      <c r="D258" s="7" t="str">
        <f>IF(B258="","",IF(COUNTIF(休館日・祝日!$B:$B,$B258)&gt;=1,"休館日",IF(E258="利用申込のない夜間閉館","★18時閉館",IF(C258="日","17時閉館",IF(COUNTIF(休館日・祝日!$E:$E,$B258)&gt;=1,"17時閉館","21時閉館")))))</f>
        <v>★18時閉館</v>
      </c>
      <c r="E258" s="10" t="s">
        <v>33</v>
      </c>
      <c r="F258" s="147" t="str">
        <f t="shared" si="18"/>
        <v/>
      </c>
    </row>
    <row r="259" spans="2:10" s="8" customFormat="1" ht="24" customHeight="1">
      <c r="B259" s="9">
        <f t="shared" si="20"/>
        <v>45956</v>
      </c>
      <c r="C259" s="7" t="str">
        <f t="shared" si="19"/>
        <v>日</v>
      </c>
      <c r="D259" s="7" t="str">
        <f>IF(B259="","",IF(COUNTIF(休館日・祝日!$B:$B,$B259)&gt;=1,"休館日",IF(E259="利用申込のない夜間閉館","★18時閉館",IF(C259="日","17時閉館",IF(COUNTIF(休館日・祝日!$E:$E,$B259)&gt;=1,"17時閉館","21時閉館")))))</f>
        <v>17時閉館</v>
      </c>
      <c r="E259" s="10"/>
      <c r="F259" s="147" t="str">
        <f t="shared" si="18"/>
        <v>夜間閉館ではなく17時閉館</v>
      </c>
    </row>
    <row r="260" spans="2:10" s="8" customFormat="1" ht="24" customHeight="1">
      <c r="B260" s="9">
        <f t="shared" si="20"/>
        <v>45957</v>
      </c>
      <c r="C260" s="7" t="str">
        <f t="shared" si="19"/>
        <v>月</v>
      </c>
      <c r="D260" s="7" t="str">
        <f>IF(B260="","",IF(COUNTIF(休館日・祝日!$B:$B,$B260)&gt;=1,"休館日",IF(E260="利用申込のない夜間閉館","★18時閉館",IF(C260="日","17時閉館",IF(COUNTIF(休館日・祝日!$E:$E,$B260)&gt;=1,"17時閉館","21時閉館")))))</f>
        <v>21時閉館</v>
      </c>
      <c r="E260" s="10"/>
      <c r="F260" s="147" t="str">
        <f t="shared" si="18"/>
        <v/>
      </c>
    </row>
    <row r="261" spans="2:10" s="8" customFormat="1" ht="24" customHeight="1">
      <c r="B261" s="9">
        <f t="shared" si="20"/>
        <v>45958</v>
      </c>
      <c r="C261" s="7" t="str">
        <f t="shared" si="19"/>
        <v>火</v>
      </c>
      <c r="D261" s="7" t="str">
        <f>IF(B261="","",IF(COUNTIF(休館日・祝日!$B:$B,$B261)&gt;=1,"休館日",IF(E261="利用申込のない夜間閉館","★18時閉館",IF(C261="日","17時閉館",IF(COUNTIF(休館日・祝日!$E:$E,$B261)&gt;=1,"17時閉館","21時閉館")))))</f>
        <v>21時閉館</v>
      </c>
      <c r="E261" s="10"/>
      <c r="F261" s="147" t="str">
        <f t="shared" si="18"/>
        <v/>
      </c>
    </row>
    <row r="262" spans="2:10" s="8" customFormat="1" ht="24" customHeight="1">
      <c r="B262" s="9">
        <f t="shared" si="20"/>
        <v>45959</v>
      </c>
      <c r="C262" s="7" t="str">
        <f t="shared" si="19"/>
        <v>水</v>
      </c>
      <c r="D262" s="7" t="str">
        <f>IF(B262="","",IF(COUNTIF(休館日・祝日!$B:$B,$B262)&gt;=1,"休館日",IF(E262="利用申込のない夜間閉館","★18時閉館",IF(C262="日","17時閉館",IF(COUNTIF(休館日・祝日!$E:$E,$B262)&gt;=1,"17時閉館","21時閉館")))))</f>
        <v>21時閉館</v>
      </c>
      <c r="E262" s="10"/>
      <c r="F262" s="147" t="str">
        <f t="shared" si="18"/>
        <v/>
      </c>
    </row>
    <row r="263" spans="2:10" s="8" customFormat="1" ht="24" customHeight="1">
      <c r="B263" s="9">
        <f t="shared" si="20"/>
        <v>45960</v>
      </c>
      <c r="C263" s="7" t="str">
        <f t="shared" si="19"/>
        <v>木</v>
      </c>
      <c r="D263" s="7" t="str">
        <f>IF(B263="","",IF(COUNTIF(休館日・祝日!$B:$B,$B263)&gt;=1,"休館日",IF(E263="利用申込のない夜間閉館","★18時閉館",IF(C263="日","17時閉館",IF(COUNTIF(休館日・祝日!$E:$E,$B263)&gt;=1,"17時閉館","21時閉館")))))</f>
        <v>★18時閉館</v>
      </c>
      <c r="E263" s="10" t="s">
        <v>33</v>
      </c>
      <c r="F263" s="147" t="str">
        <f t="shared" si="18"/>
        <v/>
      </c>
    </row>
    <row r="264" spans="2:10" s="8" customFormat="1" ht="24" customHeight="1">
      <c r="B264" s="9">
        <f t="shared" si="20"/>
        <v>45961</v>
      </c>
      <c r="C264" s="7" t="str">
        <f t="shared" si="19"/>
        <v>金</v>
      </c>
      <c r="D264" s="7" t="str">
        <f>IF(B264="","",IF(COUNTIF(休館日・祝日!$B:$B,$B264)&gt;=1,"休館日",IF(E264="利用申込のない夜間閉館","★18時閉館",IF(C264="日","17時閉館",IF(COUNTIF(休館日・祝日!$E:$E,$B264)&gt;=1,"17時閉館","21時閉館")))))</f>
        <v>21時閉館</v>
      </c>
      <c r="E264" s="10"/>
      <c r="F264" s="147" t="str">
        <f t="shared" si="18"/>
        <v/>
      </c>
    </row>
    <row r="265" spans="2:10" ht="24" customHeight="1" thickBot="1"/>
    <row r="266" spans="2:10" ht="24" customHeight="1" thickBot="1">
      <c r="B266" s="72">
        <f>$B$1</f>
        <v>2025</v>
      </c>
      <c r="C266" s="4" t="s">
        <v>9</v>
      </c>
      <c r="F266" s="145" t="s">
        <v>0</v>
      </c>
      <c r="H266" s="21">
        <f>B267</f>
        <v>11</v>
      </c>
      <c r="I266" s="21" t="s">
        <v>28</v>
      </c>
    </row>
    <row r="267" spans="2:10" ht="24" customHeight="1" thickBot="1">
      <c r="B267" s="5">
        <v>11</v>
      </c>
      <c r="C267" s="4" t="s">
        <v>25</v>
      </c>
      <c r="H267" s="22" t="s">
        <v>33</v>
      </c>
      <c r="I267" s="22">
        <f>COUNTIF(E272:E302,H267)</f>
        <v>9</v>
      </c>
      <c r="J267" s="4" t="s">
        <v>51</v>
      </c>
    </row>
    <row r="268" spans="2:10" ht="24" customHeight="1">
      <c r="B268" s="6" t="s">
        <v>26</v>
      </c>
      <c r="F268" s="144"/>
    </row>
    <row r="269" spans="2:10" ht="26.25" customHeight="1">
      <c r="B269" s="4" t="s">
        <v>27</v>
      </c>
      <c r="F269" s="144"/>
    </row>
    <row r="270" spans="2:10" ht="26.25" customHeight="1">
      <c r="F270" s="144"/>
    </row>
    <row r="271" spans="2:10" s="8" customFormat="1" ht="36.75" customHeight="1">
      <c r="B271" s="151"/>
      <c r="C271" s="152"/>
      <c r="D271" s="60" t="s">
        <v>39</v>
      </c>
      <c r="E271" s="58" t="s">
        <v>38</v>
      </c>
      <c r="F271" s="146" t="s">
        <v>30</v>
      </c>
    </row>
    <row r="272" spans="2:10" s="8" customFormat="1" ht="24" customHeight="1">
      <c r="B272" s="9">
        <f>DATE(B266,B267,1)</f>
        <v>45962</v>
      </c>
      <c r="C272" s="7" t="str">
        <f>TEXT(B272,"aaa")</f>
        <v>土</v>
      </c>
      <c r="D272" s="7" t="str">
        <f>IF(B272="","",IF(COUNTIF(休館日・祝日!$B:$B,$B272)&gt;=1,"休館日",IF(E272="利用申込のない夜間閉館","★18時閉館",IF(C272="日","17時閉館",IF(COUNTIF(休館日・祝日!$E:$E,$B272)&gt;=1,"17時閉館","21時閉館")))))</f>
        <v>★18時閉館</v>
      </c>
      <c r="E272" s="10" t="s">
        <v>33</v>
      </c>
      <c r="F272" s="147" t="str">
        <f t="shared" ref="F272:F302" si="21">IF(D272="17時閉館","夜間閉館ではなく17時閉館","")</f>
        <v/>
      </c>
    </row>
    <row r="273" spans="2:6" s="8" customFormat="1" ht="24" customHeight="1">
      <c r="B273" s="9">
        <f>IF(B272="","",IF(MONTH(B272+1)=$B$267,B272+1,""))</f>
        <v>45963</v>
      </c>
      <c r="C273" s="7" t="str">
        <f t="shared" ref="C273:C302" si="22">TEXT(B273,"aaa")</f>
        <v>日</v>
      </c>
      <c r="D273" s="7" t="str">
        <f>IF(B273="","",IF(COUNTIF(休館日・祝日!$B:$B,$B273)&gt;=1,"休館日",IF(E273="利用申込のない夜間閉館","★18時閉館",IF(C273="日","17時閉館",IF(COUNTIF(休館日・祝日!$E:$E,$B273)&gt;=1,"17時閉館","21時閉館")))))</f>
        <v>17時閉館</v>
      </c>
      <c r="E273" s="10"/>
      <c r="F273" s="147" t="str">
        <f t="shared" si="21"/>
        <v>夜間閉館ではなく17時閉館</v>
      </c>
    </row>
    <row r="274" spans="2:6" s="8" customFormat="1" ht="24" customHeight="1">
      <c r="B274" s="9">
        <f t="shared" ref="B274:B302" si="23">IF(B273="","",IF(MONTH(B273+1)=$B$267,B273+1,""))</f>
        <v>45964</v>
      </c>
      <c r="C274" s="7" t="str">
        <f t="shared" si="22"/>
        <v>月</v>
      </c>
      <c r="D274" s="7" t="str">
        <f>IF(B274="","",IF(COUNTIF(休館日・祝日!$B:$B,$B274)&gt;=1,"休館日",IF(E274="利用申込のない夜間閉館","★18時閉館",IF(C274="日","17時閉館",IF(COUNTIF(休館日・祝日!$E:$E,$B274)&gt;=1,"17時閉館","21時閉館")))))</f>
        <v>17時閉館</v>
      </c>
      <c r="E274" s="10"/>
      <c r="F274" s="147" t="str">
        <f t="shared" si="21"/>
        <v>夜間閉館ではなく17時閉館</v>
      </c>
    </row>
    <row r="275" spans="2:6" s="8" customFormat="1" ht="24" customHeight="1">
      <c r="B275" s="9">
        <f t="shared" si="23"/>
        <v>45965</v>
      </c>
      <c r="C275" s="7" t="str">
        <f t="shared" si="22"/>
        <v>火</v>
      </c>
      <c r="D275" s="7" t="str">
        <f>IF(B275="","",IF(COUNTIF(休館日・祝日!$B:$B,$B275)&gt;=1,"休館日",IF(E275="利用申込のない夜間閉館","★18時閉館",IF(C275="日","17時閉館",IF(COUNTIF(休館日・祝日!$E:$E,$B275)&gt;=1,"17時閉館","21時閉館")))))</f>
        <v>★18時閉館</v>
      </c>
      <c r="E275" s="10" t="s">
        <v>33</v>
      </c>
      <c r="F275" s="147" t="str">
        <f t="shared" si="21"/>
        <v/>
      </c>
    </row>
    <row r="276" spans="2:6" s="8" customFormat="1" ht="24" customHeight="1">
      <c r="B276" s="9">
        <f t="shared" si="23"/>
        <v>45966</v>
      </c>
      <c r="C276" s="7" t="str">
        <f t="shared" si="22"/>
        <v>水</v>
      </c>
      <c r="D276" s="7" t="str">
        <f>IF(B276="","",IF(COUNTIF(休館日・祝日!$B:$B,$B276)&gt;=1,"休館日",IF(E276="利用申込のない夜間閉館","★18時閉館",IF(C276="日","17時閉館",IF(COUNTIF(休館日・祝日!$E:$E,$B276)&gt;=1,"17時閉館","21時閉館")))))</f>
        <v>21時閉館</v>
      </c>
      <c r="E276" s="10"/>
      <c r="F276" s="147" t="str">
        <f t="shared" si="21"/>
        <v/>
      </c>
    </row>
    <row r="277" spans="2:6" s="8" customFormat="1" ht="24" customHeight="1">
      <c r="B277" s="9">
        <f t="shared" si="23"/>
        <v>45967</v>
      </c>
      <c r="C277" s="7" t="str">
        <f t="shared" si="22"/>
        <v>木</v>
      </c>
      <c r="D277" s="7" t="str">
        <f>IF(B277="","",IF(COUNTIF(休館日・祝日!$B:$B,$B277)&gt;=1,"休館日",IF(E277="利用申込のない夜間閉館","★18時閉館",IF(C277="日","17時閉館",IF(COUNTIF(休館日・祝日!$E:$E,$B277)&gt;=1,"17時閉館","21時閉館")))))</f>
        <v>★18時閉館</v>
      </c>
      <c r="E277" s="10" t="s">
        <v>33</v>
      </c>
      <c r="F277" s="147" t="str">
        <f t="shared" si="21"/>
        <v/>
      </c>
    </row>
    <row r="278" spans="2:6" s="8" customFormat="1" ht="24" customHeight="1">
      <c r="B278" s="9">
        <f t="shared" si="23"/>
        <v>45968</v>
      </c>
      <c r="C278" s="7" t="str">
        <f t="shared" si="22"/>
        <v>金</v>
      </c>
      <c r="D278" s="7" t="str">
        <f>IF(B278="","",IF(COUNTIF(休館日・祝日!$B:$B,$B278)&gt;=1,"休館日",IF(E278="利用申込のない夜間閉館","★18時閉館",IF(C278="日","17時閉館",IF(COUNTIF(休館日・祝日!$E:$E,$B278)&gt;=1,"17時閉館","21時閉館")))))</f>
        <v>21時閉館</v>
      </c>
      <c r="E278" s="10"/>
      <c r="F278" s="147" t="str">
        <f t="shared" si="21"/>
        <v/>
      </c>
    </row>
    <row r="279" spans="2:6" s="8" customFormat="1" ht="24" customHeight="1">
      <c r="B279" s="9">
        <f t="shared" si="23"/>
        <v>45969</v>
      </c>
      <c r="C279" s="7" t="str">
        <f t="shared" si="22"/>
        <v>土</v>
      </c>
      <c r="D279" s="7" t="str">
        <f>IF(B279="","",IF(COUNTIF(休館日・祝日!$B:$B,$B279)&gt;=1,"休館日",IF(E279="利用申込のない夜間閉館","★18時閉館",IF(C279="日","17時閉館",IF(COUNTIF(休館日・祝日!$E:$E,$B279)&gt;=1,"17時閉館","21時閉館")))))</f>
        <v>★18時閉館</v>
      </c>
      <c r="E279" s="10" t="s">
        <v>33</v>
      </c>
      <c r="F279" s="147" t="str">
        <f t="shared" si="21"/>
        <v/>
      </c>
    </row>
    <row r="280" spans="2:6" s="8" customFormat="1" ht="24" customHeight="1">
      <c r="B280" s="9">
        <f t="shared" si="23"/>
        <v>45970</v>
      </c>
      <c r="C280" s="7" t="str">
        <f t="shared" si="22"/>
        <v>日</v>
      </c>
      <c r="D280" s="7" t="str">
        <f>IF(B280="","",IF(COUNTIF(休館日・祝日!$B:$B,$B280)&gt;=1,"休館日",IF(E280="利用申込のない夜間閉館","★18時閉館",IF(C280="日","17時閉館",IF(COUNTIF(休館日・祝日!$E:$E,$B280)&gt;=1,"17時閉館","21時閉館")))))</f>
        <v>17時閉館</v>
      </c>
      <c r="E280" s="10"/>
      <c r="F280" s="147" t="str">
        <f t="shared" si="21"/>
        <v>夜間閉館ではなく17時閉館</v>
      </c>
    </row>
    <row r="281" spans="2:6" s="8" customFormat="1" ht="24" customHeight="1">
      <c r="B281" s="9">
        <f t="shared" si="23"/>
        <v>45971</v>
      </c>
      <c r="C281" s="7" t="str">
        <f t="shared" si="22"/>
        <v>月</v>
      </c>
      <c r="D281" s="7" t="str">
        <f>IF(B281="","",IF(COUNTIF(休館日・祝日!$B:$B,$B281)&gt;=1,"休館日",IF(E281="利用申込のない夜間閉館","★18時閉館",IF(C281="日","17時閉館",IF(COUNTIF(休館日・祝日!$E:$E,$B281)&gt;=1,"17時閉館","21時閉館")))))</f>
        <v>★18時閉館</v>
      </c>
      <c r="E281" s="10" t="s">
        <v>33</v>
      </c>
      <c r="F281" s="147" t="str">
        <f t="shared" si="21"/>
        <v/>
      </c>
    </row>
    <row r="282" spans="2:6" s="8" customFormat="1" ht="24" customHeight="1">
      <c r="B282" s="9">
        <f t="shared" si="23"/>
        <v>45972</v>
      </c>
      <c r="C282" s="7" t="str">
        <f t="shared" si="22"/>
        <v>火</v>
      </c>
      <c r="D282" s="7" t="str">
        <f>IF(B282="","",IF(COUNTIF(休館日・祝日!$B:$B,$B282)&gt;=1,"休館日",IF(E282="利用申込のない夜間閉館","★18時閉館",IF(C282="日","17時閉館",IF(COUNTIF(休館日・祝日!$E:$E,$B282)&gt;=1,"17時閉館","21時閉館")))))</f>
        <v>21時閉館</v>
      </c>
      <c r="E282" s="10"/>
      <c r="F282" s="147" t="str">
        <f t="shared" si="21"/>
        <v/>
      </c>
    </row>
    <row r="283" spans="2:6" s="8" customFormat="1" ht="24" customHeight="1">
      <c r="B283" s="9">
        <f t="shared" si="23"/>
        <v>45973</v>
      </c>
      <c r="C283" s="7" t="str">
        <f t="shared" si="22"/>
        <v>水</v>
      </c>
      <c r="D283" s="7" t="str">
        <f>IF(B283="","",IF(COUNTIF(休館日・祝日!$B:$B,$B283)&gt;=1,"休館日",IF(E283="利用申込のない夜間閉館","★18時閉館",IF(C283="日","17時閉館",IF(COUNTIF(休館日・祝日!$E:$E,$B283)&gt;=1,"17時閉館","21時閉館")))))</f>
        <v>21時閉館</v>
      </c>
      <c r="E283" s="10"/>
      <c r="F283" s="147" t="str">
        <f t="shared" si="21"/>
        <v/>
      </c>
    </row>
    <row r="284" spans="2:6" s="8" customFormat="1" ht="24" customHeight="1">
      <c r="B284" s="9">
        <f t="shared" si="23"/>
        <v>45974</v>
      </c>
      <c r="C284" s="7" t="str">
        <f t="shared" si="22"/>
        <v>木</v>
      </c>
      <c r="D284" s="7" t="str">
        <f>IF(B284="","",IF(COUNTIF(休館日・祝日!$B:$B,$B284)&gt;=1,"休館日",IF(E284="利用申込のない夜間閉館","★18時閉館",IF(C284="日","17時閉館",IF(COUNTIF(休館日・祝日!$E:$E,$B284)&gt;=1,"17時閉館","21時閉館")))))</f>
        <v>★18時閉館</v>
      </c>
      <c r="E284" s="10" t="s">
        <v>33</v>
      </c>
      <c r="F284" s="147" t="str">
        <f t="shared" si="21"/>
        <v/>
      </c>
    </row>
    <row r="285" spans="2:6" s="8" customFormat="1" ht="24" customHeight="1">
      <c r="B285" s="9">
        <f t="shared" si="23"/>
        <v>45975</v>
      </c>
      <c r="C285" s="7" t="str">
        <f t="shared" si="22"/>
        <v>金</v>
      </c>
      <c r="D285" s="7" t="str">
        <f>IF(B285="","",IF(COUNTIF(休館日・祝日!$B:$B,$B285)&gt;=1,"休館日",IF(E285="利用申込のない夜間閉館","★18時閉館",IF(C285="日","17時閉館",IF(COUNTIF(休館日・祝日!$E:$E,$B285)&gt;=1,"17時閉館","21時閉館")))))</f>
        <v>21時閉館</v>
      </c>
      <c r="E285" s="10"/>
      <c r="F285" s="147" t="str">
        <f t="shared" si="21"/>
        <v/>
      </c>
    </row>
    <row r="286" spans="2:6" s="8" customFormat="1" ht="24" customHeight="1">
      <c r="B286" s="9">
        <f t="shared" si="23"/>
        <v>45976</v>
      </c>
      <c r="C286" s="7" t="str">
        <f t="shared" si="22"/>
        <v>土</v>
      </c>
      <c r="D286" s="7" t="str">
        <f>IF(B286="","",IF(COUNTIF(休館日・祝日!$B:$B,$B286)&gt;=1,"休館日",IF(E286="利用申込のない夜間閉館","★18時閉館",IF(C286="日","17時閉館",IF(COUNTIF(休館日・祝日!$E:$E,$B286)&gt;=1,"17時閉館","21時閉館")))))</f>
        <v>21時閉館</v>
      </c>
      <c r="E286" s="10"/>
      <c r="F286" s="147" t="str">
        <f t="shared" si="21"/>
        <v/>
      </c>
    </row>
    <row r="287" spans="2:6" s="8" customFormat="1" ht="24" customHeight="1">
      <c r="B287" s="9">
        <f t="shared" si="23"/>
        <v>45977</v>
      </c>
      <c r="C287" s="7" t="str">
        <f t="shared" si="22"/>
        <v>日</v>
      </c>
      <c r="D287" s="7" t="str">
        <f>IF(B287="","",IF(COUNTIF(休館日・祝日!$B:$B,$B287)&gt;=1,"休館日",IF(E287="利用申込のない夜間閉館","★18時閉館",IF(C287="日","17時閉館",IF(COUNTIF(休館日・祝日!$E:$E,$B287)&gt;=1,"17時閉館","21時閉館")))))</f>
        <v>17時閉館</v>
      </c>
      <c r="E287" s="10"/>
      <c r="F287" s="147" t="str">
        <f t="shared" si="21"/>
        <v>夜間閉館ではなく17時閉館</v>
      </c>
    </row>
    <row r="288" spans="2:6" s="8" customFormat="1" ht="24" customHeight="1">
      <c r="B288" s="9">
        <f t="shared" si="23"/>
        <v>45978</v>
      </c>
      <c r="C288" s="7" t="str">
        <f t="shared" si="22"/>
        <v>月</v>
      </c>
      <c r="D288" s="7" t="str">
        <f>IF(B288="","",IF(COUNTIF(休館日・祝日!$B:$B,$B288)&gt;=1,"休館日",IF(E288="利用申込のない夜間閉館","★18時閉館",IF(C288="日","17時閉館",IF(COUNTIF(休館日・祝日!$E:$E,$B288)&gt;=1,"17時閉館","21時閉館")))))</f>
        <v>休館日</v>
      </c>
      <c r="E288" s="10"/>
      <c r="F288" s="147" t="str">
        <f t="shared" si="21"/>
        <v/>
      </c>
    </row>
    <row r="289" spans="2:9" s="8" customFormat="1" ht="24" customHeight="1">
      <c r="B289" s="9">
        <f t="shared" si="23"/>
        <v>45979</v>
      </c>
      <c r="C289" s="7" t="str">
        <f t="shared" si="22"/>
        <v>火</v>
      </c>
      <c r="D289" s="7" t="str">
        <f>IF(B289="","",IF(COUNTIF(休館日・祝日!$B:$B,$B289)&gt;=1,"休館日",IF(E289="利用申込のない夜間閉館","★18時閉館",IF(C289="日","17時閉館",IF(COUNTIF(休館日・祝日!$E:$E,$B289)&gt;=1,"17時閉館","21時閉館")))))</f>
        <v>★18時閉館</v>
      </c>
      <c r="E289" s="10" t="s">
        <v>33</v>
      </c>
      <c r="F289" s="147" t="str">
        <f t="shared" si="21"/>
        <v/>
      </c>
    </row>
    <row r="290" spans="2:9" s="8" customFormat="1" ht="24" customHeight="1">
      <c r="B290" s="9">
        <f t="shared" si="23"/>
        <v>45980</v>
      </c>
      <c r="C290" s="7" t="str">
        <f t="shared" si="22"/>
        <v>水</v>
      </c>
      <c r="D290" s="7" t="str">
        <f>IF(B290="","",IF(COUNTIF(休館日・祝日!$B:$B,$B290)&gt;=1,"休館日",IF(E290="利用申込のない夜間閉館","★18時閉館",IF(C290="日","17時閉館",IF(COUNTIF(休館日・祝日!$E:$E,$B290)&gt;=1,"17時閉館","21時閉館")))))</f>
        <v>21時閉館</v>
      </c>
      <c r="E290" s="10"/>
      <c r="F290" s="147" t="str">
        <f t="shared" si="21"/>
        <v/>
      </c>
    </row>
    <row r="291" spans="2:9" s="8" customFormat="1" ht="24" customHeight="1">
      <c r="B291" s="9">
        <f t="shared" si="23"/>
        <v>45981</v>
      </c>
      <c r="C291" s="7" t="str">
        <f t="shared" si="22"/>
        <v>木</v>
      </c>
      <c r="D291" s="7" t="str">
        <f>IF(B291="","",IF(COUNTIF(休館日・祝日!$B:$B,$B291)&gt;=1,"休館日",IF(E291="利用申込のない夜間閉館","★18時閉館",IF(C291="日","17時閉館",IF(COUNTIF(休館日・祝日!$E:$E,$B291)&gt;=1,"17時閉館","21時閉館")))))</f>
        <v>21時閉館</v>
      </c>
      <c r="E291" s="10"/>
      <c r="F291" s="147" t="str">
        <f t="shared" si="21"/>
        <v/>
      </c>
    </row>
    <row r="292" spans="2:9" s="8" customFormat="1" ht="24" customHeight="1">
      <c r="B292" s="9">
        <f t="shared" si="23"/>
        <v>45982</v>
      </c>
      <c r="C292" s="7" t="str">
        <f t="shared" si="22"/>
        <v>金</v>
      </c>
      <c r="D292" s="7" t="str">
        <f>IF(B292="","",IF(COUNTIF(休館日・祝日!$B:$B,$B292)&gt;=1,"休館日",IF(E292="利用申込のない夜間閉館","★18時閉館",IF(C292="日","17時閉館",IF(COUNTIF(休館日・祝日!$E:$E,$B292)&gt;=1,"17時閉館","21時閉館")))))</f>
        <v>21時閉館</v>
      </c>
      <c r="E292" s="10"/>
      <c r="F292" s="147" t="str">
        <f t="shared" si="21"/>
        <v/>
      </c>
    </row>
    <row r="293" spans="2:9" s="8" customFormat="1" ht="24" customHeight="1">
      <c r="B293" s="9">
        <f t="shared" si="23"/>
        <v>45983</v>
      </c>
      <c r="C293" s="7" t="str">
        <f t="shared" si="22"/>
        <v>土</v>
      </c>
      <c r="D293" s="7" t="str">
        <f>IF(B293="","",IF(COUNTIF(休館日・祝日!$B:$B,$B293)&gt;=1,"休館日",IF(E293="利用申込のない夜間閉館","★18時閉館",IF(C293="日","17時閉館",IF(COUNTIF(休館日・祝日!$E:$E,$B293)&gt;=1,"17時閉館","21時閉館")))))</f>
        <v>★18時閉館</v>
      </c>
      <c r="E293" s="10" t="s">
        <v>33</v>
      </c>
      <c r="F293" s="147" t="str">
        <f t="shared" si="21"/>
        <v/>
      </c>
    </row>
    <row r="294" spans="2:9" s="8" customFormat="1" ht="24" customHeight="1">
      <c r="B294" s="9">
        <f t="shared" si="23"/>
        <v>45984</v>
      </c>
      <c r="C294" s="7" t="str">
        <f t="shared" si="22"/>
        <v>日</v>
      </c>
      <c r="D294" s="7" t="str">
        <f>IF(B294="","",IF(COUNTIF(休館日・祝日!$B:$B,$B294)&gt;=1,"休館日",IF(E294="利用申込のない夜間閉館","★18時閉館",IF(C294="日","17時閉館",IF(COUNTIF(休館日・祝日!$E:$E,$B294)&gt;=1,"17時閉館","21時閉館")))))</f>
        <v>17時閉館</v>
      </c>
      <c r="E294" s="10"/>
      <c r="F294" s="147" t="str">
        <f t="shared" si="21"/>
        <v>夜間閉館ではなく17時閉館</v>
      </c>
    </row>
    <row r="295" spans="2:9" s="8" customFormat="1" ht="24" customHeight="1">
      <c r="B295" s="9">
        <f t="shared" si="23"/>
        <v>45985</v>
      </c>
      <c r="C295" s="7" t="str">
        <f t="shared" si="22"/>
        <v>月</v>
      </c>
      <c r="D295" s="7" t="str">
        <f>IF(B295="","",IF(COUNTIF(休館日・祝日!$B:$B,$B295)&gt;=1,"休館日",IF(E295="利用申込のない夜間閉館","★18時閉館",IF(C295="日","17時閉館",IF(COUNTIF(休館日・祝日!$E:$E,$B295)&gt;=1,"17時閉館","21時閉館")))))</f>
        <v>17時閉館</v>
      </c>
      <c r="E295" s="10"/>
      <c r="F295" s="147" t="str">
        <f t="shared" si="21"/>
        <v>夜間閉館ではなく17時閉館</v>
      </c>
    </row>
    <row r="296" spans="2:9" s="8" customFormat="1" ht="24" customHeight="1">
      <c r="B296" s="9">
        <f t="shared" si="23"/>
        <v>45986</v>
      </c>
      <c r="C296" s="7" t="str">
        <f t="shared" si="22"/>
        <v>火</v>
      </c>
      <c r="D296" s="7" t="str">
        <f>IF(B296="","",IF(COUNTIF(休館日・祝日!$B:$B,$B296)&gt;=1,"休館日",IF(E296="利用申込のない夜間閉館","★18時閉館",IF(C296="日","17時閉館",IF(COUNTIF(休館日・祝日!$E:$E,$B296)&gt;=1,"17時閉館","21時閉館")))))</f>
        <v>21時閉館</v>
      </c>
      <c r="E296" s="10"/>
      <c r="F296" s="147" t="str">
        <f t="shared" si="21"/>
        <v/>
      </c>
    </row>
    <row r="297" spans="2:9" s="8" customFormat="1" ht="24" customHeight="1">
      <c r="B297" s="9">
        <f t="shared" si="23"/>
        <v>45987</v>
      </c>
      <c r="C297" s="7" t="str">
        <f t="shared" si="22"/>
        <v>水</v>
      </c>
      <c r="D297" s="7" t="str">
        <f>IF(B297="","",IF(COUNTIF(休館日・祝日!$B:$B,$B297)&gt;=1,"休館日",IF(E297="利用申込のない夜間閉館","★18時閉館",IF(C297="日","17時閉館",IF(COUNTIF(休館日・祝日!$E:$E,$B297)&gt;=1,"17時閉館","21時閉館")))))</f>
        <v>21時閉館</v>
      </c>
      <c r="E297" s="10"/>
      <c r="F297" s="147" t="str">
        <f t="shared" si="21"/>
        <v/>
      </c>
    </row>
    <row r="298" spans="2:9" s="8" customFormat="1" ht="24" customHeight="1">
      <c r="B298" s="9">
        <f t="shared" si="23"/>
        <v>45988</v>
      </c>
      <c r="C298" s="7" t="str">
        <f t="shared" si="22"/>
        <v>木</v>
      </c>
      <c r="D298" s="7" t="str">
        <f>IF(B298="","",IF(COUNTIF(休館日・祝日!$B:$B,$B298)&gt;=1,"休館日",IF(E298="利用申込のない夜間閉館","★18時閉館",IF(C298="日","17時閉館",IF(COUNTIF(休館日・祝日!$E:$E,$B298)&gt;=1,"17時閉館","21時閉館")))))</f>
        <v>21時閉館</v>
      </c>
      <c r="E298" s="10"/>
      <c r="F298" s="147" t="str">
        <f t="shared" si="21"/>
        <v/>
      </c>
    </row>
    <row r="299" spans="2:9" s="8" customFormat="1" ht="24" customHeight="1">
      <c r="B299" s="9">
        <f t="shared" si="23"/>
        <v>45989</v>
      </c>
      <c r="C299" s="7" t="str">
        <f t="shared" si="22"/>
        <v>金</v>
      </c>
      <c r="D299" s="7" t="str">
        <f>IF(B299="","",IF(COUNTIF(休館日・祝日!$B:$B,$B299)&gt;=1,"休館日",IF(E299="利用申込のない夜間閉館","★18時閉館",IF(C299="日","17時閉館",IF(COUNTIF(休館日・祝日!$E:$E,$B299)&gt;=1,"17時閉館","21時閉館")))))</f>
        <v>21時閉館</v>
      </c>
      <c r="E299" s="10"/>
      <c r="F299" s="147" t="str">
        <f t="shared" si="21"/>
        <v/>
      </c>
    </row>
    <row r="300" spans="2:9" s="8" customFormat="1" ht="24" customHeight="1">
      <c r="B300" s="9">
        <f t="shared" si="23"/>
        <v>45990</v>
      </c>
      <c r="C300" s="7" t="str">
        <f t="shared" si="22"/>
        <v>土</v>
      </c>
      <c r="D300" s="7" t="str">
        <f>IF(B300="","",IF(COUNTIF(休館日・祝日!$B:$B,$B300)&gt;=1,"休館日",IF(E300="利用申込のない夜間閉館","★18時閉館",IF(C300="日","17時閉館",IF(COUNTIF(休館日・祝日!$E:$E,$B300)&gt;=1,"17時閉館","21時閉館")))))</f>
        <v>★18時閉館</v>
      </c>
      <c r="E300" s="10" t="s">
        <v>33</v>
      </c>
      <c r="F300" s="147" t="str">
        <f t="shared" si="21"/>
        <v/>
      </c>
    </row>
    <row r="301" spans="2:9" s="8" customFormat="1" ht="24" customHeight="1">
      <c r="B301" s="9">
        <f t="shared" si="23"/>
        <v>45991</v>
      </c>
      <c r="C301" s="7" t="str">
        <f t="shared" si="22"/>
        <v>日</v>
      </c>
      <c r="D301" s="7" t="str">
        <f>IF(B301="","",IF(COUNTIF(休館日・祝日!$B:$B,$B301)&gt;=1,"休館日",IF(E301="利用申込のない夜間閉館","★18時閉館",IF(C301="日","17時閉館",IF(COUNTIF(休館日・祝日!$E:$E,$B301)&gt;=1,"17時閉館","21時閉館")))))</f>
        <v>17時閉館</v>
      </c>
      <c r="E301" s="10"/>
      <c r="F301" s="147" t="str">
        <f t="shared" si="21"/>
        <v>夜間閉館ではなく17時閉館</v>
      </c>
    </row>
    <row r="302" spans="2:9" s="8" customFormat="1" ht="24" customHeight="1">
      <c r="B302" s="9" t="str">
        <f t="shared" si="23"/>
        <v/>
      </c>
      <c r="C302" s="7" t="str">
        <f t="shared" si="22"/>
        <v/>
      </c>
      <c r="D302" s="7" t="str">
        <f>IF(B302="","",IF(COUNTIF(休館日・祝日!$B:$B,$B302)&gt;=1,"休館日",IF(E302="利用申込のない夜間閉館","★18時閉館",IF(C302="日","17時閉館",IF(COUNTIF(休館日・祝日!$E:$E,$B302)&gt;=1,"17時閉館","21時閉館")))))</f>
        <v/>
      </c>
      <c r="E302" s="10" t="str">
        <f>IF(B302="","",IF(OR(#REF!&lt;&gt;"",#REF!&lt;&gt;"",#REF!&lt;&gt;"",#REF!&lt;&gt;"",#REF!&lt;&gt;""),"開館",IF(C302="日","その他閉館",IF(COUNTIF(休館日・祝日!$B:$B,$B302)+COUNTIF(休館日・祝日!$E:$E,$B302)&gt;=1,"その他閉館","申込無し閉館"))))</f>
        <v/>
      </c>
      <c r="F302" s="147" t="str">
        <f t="shared" si="21"/>
        <v/>
      </c>
    </row>
    <row r="303" spans="2:9" ht="24" customHeight="1" thickBot="1"/>
    <row r="304" spans="2:9" ht="24" customHeight="1" thickBot="1">
      <c r="B304" s="72">
        <f>$B$1</f>
        <v>2025</v>
      </c>
      <c r="C304" s="4" t="s">
        <v>9</v>
      </c>
      <c r="F304" s="145" t="s">
        <v>0</v>
      </c>
      <c r="H304" s="21">
        <f>B305</f>
        <v>12</v>
      </c>
      <c r="I304" s="21" t="s">
        <v>28</v>
      </c>
    </row>
    <row r="305" spans="2:10" ht="24" customHeight="1" thickBot="1">
      <c r="B305" s="5">
        <v>12</v>
      </c>
      <c r="C305" s="4" t="s">
        <v>25</v>
      </c>
      <c r="H305" s="22" t="s">
        <v>33</v>
      </c>
      <c r="I305" s="22">
        <f>COUNTIF(E310:E340,H305)</f>
        <v>11</v>
      </c>
      <c r="J305" s="4" t="s">
        <v>51</v>
      </c>
    </row>
    <row r="306" spans="2:10" ht="24" customHeight="1">
      <c r="B306" s="6" t="s">
        <v>26</v>
      </c>
      <c r="F306" s="144"/>
    </row>
    <row r="307" spans="2:10" ht="26.25" customHeight="1">
      <c r="B307" s="4" t="s">
        <v>27</v>
      </c>
      <c r="F307" s="144"/>
    </row>
    <row r="308" spans="2:10" ht="26.25" customHeight="1">
      <c r="F308" s="144"/>
    </row>
    <row r="309" spans="2:10" s="8" customFormat="1" ht="36.75" customHeight="1">
      <c r="B309" s="151"/>
      <c r="C309" s="152"/>
      <c r="D309" s="60" t="s">
        <v>39</v>
      </c>
      <c r="E309" s="58" t="s">
        <v>38</v>
      </c>
      <c r="F309" s="146" t="s">
        <v>30</v>
      </c>
    </row>
    <row r="310" spans="2:10" s="8" customFormat="1" ht="24" customHeight="1">
      <c r="B310" s="9">
        <f>DATE(B304,B305,1)</f>
        <v>45992</v>
      </c>
      <c r="C310" s="7" t="str">
        <f>TEXT(B310,"aaa")</f>
        <v>月</v>
      </c>
      <c r="D310" s="7" t="str">
        <f>IF(B310="","",IF(COUNTIF(休館日・祝日!$B:$B,$B310)&gt;=1,"休館日",IF(E310="利用申込のない夜間閉館","★18時閉館",IF(C310="日","17時閉館",IF(COUNTIF(休館日・祝日!$E:$E,$B310)&gt;=1,"17時閉館","21時閉館")))))</f>
        <v>★18時閉館</v>
      </c>
      <c r="E310" s="10" t="s">
        <v>33</v>
      </c>
      <c r="F310" s="147" t="str">
        <f t="shared" ref="F310:F340" si="24">IF(D310="17時閉館","夜間閉館ではなく17時閉館","")</f>
        <v/>
      </c>
    </row>
    <row r="311" spans="2:10" s="8" customFormat="1" ht="24" customHeight="1">
      <c r="B311" s="9">
        <f>IF(B310="","",IF(MONTH(B310+1)=$B$305,B310+1,""))</f>
        <v>45993</v>
      </c>
      <c r="C311" s="7" t="str">
        <f t="shared" ref="C311:C340" si="25">TEXT(B311,"aaa")</f>
        <v>火</v>
      </c>
      <c r="D311" s="7" t="str">
        <f>IF(B311="","",IF(COUNTIF(休館日・祝日!$B:$B,$B311)&gt;=1,"休館日",IF(E311="利用申込のない夜間閉館","★18時閉館",IF(C311="日","17時閉館",IF(COUNTIF(休館日・祝日!$E:$E,$B311)&gt;=1,"17時閉館","21時閉館")))))</f>
        <v>★18時閉館</v>
      </c>
      <c r="E311" s="10" t="s">
        <v>33</v>
      </c>
      <c r="F311" s="147" t="str">
        <f t="shared" si="24"/>
        <v/>
      </c>
    </row>
    <row r="312" spans="2:10" s="8" customFormat="1" ht="24" customHeight="1">
      <c r="B312" s="9">
        <f t="shared" ref="B312:B340" si="26">IF(B311="","",IF(MONTH(B311+1)=$B$305,B311+1,""))</f>
        <v>45994</v>
      </c>
      <c r="C312" s="7" t="str">
        <f t="shared" si="25"/>
        <v>水</v>
      </c>
      <c r="D312" s="7" t="str">
        <f>IF(B312="","",IF(COUNTIF(休館日・祝日!$B:$B,$B312)&gt;=1,"休館日",IF(E312="利用申込のない夜間閉館","★18時閉館",IF(C312="日","17時閉館",IF(COUNTIF(休館日・祝日!$E:$E,$B312)&gt;=1,"17時閉館","21時閉館")))))</f>
        <v>21時閉館</v>
      </c>
      <c r="E312" s="10"/>
      <c r="F312" s="147" t="str">
        <f t="shared" si="24"/>
        <v/>
      </c>
    </row>
    <row r="313" spans="2:10" s="8" customFormat="1" ht="24" customHeight="1">
      <c r="B313" s="9">
        <f t="shared" si="26"/>
        <v>45995</v>
      </c>
      <c r="C313" s="7" t="str">
        <f t="shared" si="25"/>
        <v>木</v>
      </c>
      <c r="D313" s="7" t="str">
        <f>IF(B313="","",IF(COUNTIF(休館日・祝日!$B:$B,$B313)&gt;=1,"休館日",IF(E313="利用申込のない夜間閉館","★18時閉館",IF(C313="日","17時閉館",IF(COUNTIF(休館日・祝日!$E:$E,$B313)&gt;=1,"17時閉館","21時閉館")))))</f>
        <v>★18時閉館</v>
      </c>
      <c r="E313" s="10" t="s">
        <v>33</v>
      </c>
      <c r="F313" s="147" t="str">
        <f t="shared" si="24"/>
        <v/>
      </c>
    </row>
    <row r="314" spans="2:10" s="8" customFormat="1" ht="24" customHeight="1">
      <c r="B314" s="9">
        <f t="shared" si="26"/>
        <v>45996</v>
      </c>
      <c r="C314" s="7" t="str">
        <f t="shared" si="25"/>
        <v>金</v>
      </c>
      <c r="D314" s="7" t="str">
        <f>IF(B314="","",IF(COUNTIF(休館日・祝日!$B:$B,$B314)&gt;=1,"休館日",IF(E314="利用申込のない夜間閉館","★18時閉館",IF(C314="日","17時閉館",IF(COUNTIF(休館日・祝日!$E:$E,$B314)&gt;=1,"17時閉館","21時閉館")))))</f>
        <v>21時閉館</v>
      </c>
      <c r="E314" s="10"/>
      <c r="F314" s="147" t="str">
        <f t="shared" si="24"/>
        <v/>
      </c>
    </row>
    <row r="315" spans="2:10" s="8" customFormat="1" ht="24" customHeight="1">
      <c r="B315" s="9">
        <f t="shared" si="26"/>
        <v>45997</v>
      </c>
      <c r="C315" s="7" t="str">
        <f t="shared" si="25"/>
        <v>土</v>
      </c>
      <c r="D315" s="7" t="str">
        <f>IF(B315="","",IF(COUNTIF(休館日・祝日!$B:$B,$B315)&gt;=1,"休館日",IF(E315="利用申込のない夜間閉館","★18時閉館",IF(C315="日","17時閉館",IF(COUNTIF(休館日・祝日!$E:$E,$B315)&gt;=1,"17時閉館","21時閉館")))))</f>
        <v>★18時閉館</v>
      </c>
      <c r="E315" s="10" t="s">
        <v>33</v>
      </c>
      <c r="F315" s="147" t="str">
        <f t="shared" si="24"/>
        <v/>
      </c>
    </row>
    <row r="316" spans="2:10" s="8" customFormat="1" ht="24" customHeight="1">
      <c r="B316" s="9">
        <f t="shared" si="26"/>
        <v>45998</v>
      </c>
      <c r="C316" s="7" t="str">
        <f t="shared" si="25"/>
        <v>日</v>
      </c>
      <c r="D316" s="7" t="str">
        <f>IF(B316="","",IF(COUNTIF(休館日・祝日!$B:$B,$B316)&gt;=1,"休館日",IF(E316="利用申込のない夜間閉館","★18時閉館",IF(C316="日","17時閉館",IF(COUNTIF(休館日・祝日!$E:$E,$B316)&gt;=1,"17時閉館","21時閉館")))))</f>
        <v>17時閉館</v>
      </c>
      <c r="E316" s="10"/>
      <c r="F316" s="147" t="str">
        <f t="shared" si="24"/>
        <v>夜間閉館ではなく17時閉館</v>
      </c>
    </row>
    <row r="317" spans="2:10" s="8" customFormat="1" ht="24" customHeight="1">
      <c r="B317" s="9">
        <f t="shared" si="26"/>
        <v>45999</v>
      </c>
      <c r="C317" s="7" t="str">
        <f t="shared" si="25"/>
        <v>月</v>
      </c>
      <c r="D317" s="7" t="str">
        <f>IF(B317="","",IF(COUNTIF(休館日・祝日!$B:$B,$B317)&gt;=1,"休館日",IF(E317="利用申込のない夜間閉館","★18時閉館",IF(C317="日","17時閉館",IF(COUNTIF(休館日・祝日!$E:$E,$B317)&gt;=1,"17時閉館","21時閉館")))))</f>
        <v>★18時閉館</v>
      </c>
      <c r="E317" s="10" t="s">
        <v>33</v>
      </c>
      <c r="F317" s="147" t="str">
        <f t="shared" si="24"/>
        <v/>
      </c>
    </row>
    <row r="318" spans="2:10" s="8" customFormat="1" ht="24" customHeight="1">
      <c r="B318" s="9">
        <f t="shared" si="26"/>
        <v>46000</v>
      </c>
      <c r="C318" s="7" t="str">
        <f t="shared" si="25"/>
        <v>火</v>
      </c>
      <c r="D318" s="7" t="str">
        <f>IF(B318="","",IF(COUNTIF(休館日・祝日!$B:$B,$B318)&gt;=1,"休館日",IF(E318="利用申込のない夜間閉館","★18時閉館",IF(C318="日","17時閉館",IF(COUNTIF(休館日・祝日!$E:$E,$B318)&gt;=1,"17時閉館","21時閉館")))))</f>
        <v>21時閉館</v>
      </c>
      <c r="E318" s="10"/>
      <c r="F318" s="147" t="str">
        <f t="shared" si="24"/>
        <v/>
      </c>
    </row>
    <row r="319" spans="2:10" s="8" customFormat="1" ht="24" customHeight="1">
      <c r="B319" s="9">
        <f t="shared" si="26"/>
        <v>46001</v>
      </c>
      <c r="C319" s="7" t="str">
        <f t="shared" si="25"/>
        <v>水</v>
      </c>
      <c r="D319" s="7" t="str">
        <f>IF(B319="","",IF(COUNTIF(休館日・祝日!$B:$B,$B319)&gt;=1,"休館日",IF(E319="利用申込のない夜間閉館","★18時閉館",IF(C319="日","17時閉館",IF(COUNTIF(休館日・祝日!$E:$E,$B319)&gt;=1,"17時閉館","21時閉館")))))</f>
        <v>21時閉館</v>
      </c>
      <c r="E319" s="10"/>
      <c r="F319" s="147" t="str">
        <f t="shared" si="24"/>
        <v/>
      </c>
    </row>
    <row r="320" spans="2:10" s="8" customFormat="1" ht="24" customHeight="1">
      <c r="B320" s="9">
        <f t="shared" si="26"/>
        <v>46002</v>
      </c>
      <c r="C320" s="7" t="str">
        <f t="shared" si="25"/>
        <v>木</v>
      </c>
      <c r="D320" s="7" t="str">
        <f>IF(B320="","",IF(COUNTIF(休館日・祝日!$B:$B,$B320)&gt;=1,"休館日",IF(E320="利用申込のない夜間閉館","★18時閉館",IF(C320="日","17時閉館",IF(COUNTIF(休館日・祝日!$E:$E,$B320)&gt;=1,"17時閉館","21時閉館")))))</f>
        <v>★18時閉館</v>
      </c>
      <c r="E320" s="10" t="s">
        <v>33</v>
      </c>
      <c r="F320" s="147" t="str">
        <f t="shared" si="24"/>
        <v/>
      </c>
    </row>
    <row r="321" spans="2:6" s="8" customFormat="1" ht="24" customHeight="1">
      <c r="B321" s="9">
        <f t="shared" si="26"/>
        <v>46003</v>
      </c>
      <c r="C321" s="7" t="str">
        <f t="shared" si="25"/>
        <v>金</v>
      </c>
      <c r="D321" s="7" t="str">
        <f>IF(B321="","",IF(COUNTIF(休館日・祝日!$B:$B,$B321)&gt;=1,"休館日",IF(E321="利用申込のない夜間閉館","★18時閉館",IF(C321="日","17時閉館",IF(COUNTIF(休館日・祝日!$E:$E,$B321)&gt;=1,"17時閉館","21時閉館")))))</f>
        <v>21時閉館</v>
      </c>
      <c r="E321" s="10"/>
      <c r="F321" s="147" t="str">
        <f t="shared" si="24"/>
        <v/>
      </c>
    </row>
    <row r="322" spans="2:6" s="8" customFormat="1" ht="24" customHeight="1">
      <c r="B322" s="9">
        <f t="shared" si="26"/>
        <v>46004</v>
      </c>
      <c r="C322" s="7" t="str">
        <f t="shared" si="25"/>
        <v>土</v>
      </c>
      <c r="D322" s="7" t="str">
        <f>IF(B322="","",IF(COUNTIF(休館日・祝日!$B:$B,$B322)&gt;=1,"休館日",IF(E322="利用申込のない夜間閉館","★18時閉館",IF(C322="日","17時閉館",IF(COUNTIF(休館日・祝日!$E:$E,$B322)&gt;=1,"17時閉館","21時閉館")))))</f>
        <v>★18時閉館</v>
      </c>
      <c r="E322" s="10" t="s">
        <v>33</v>
      </c>
      <c r="F322" s="147" t="str">
        <f t="shared" si="24"/>
        <v/>
      </c>
    </row>
    <row r="323" spans="2:6" s="8" customFormat="1" ht="24" customHeight="1">
      <c r="B323" s="9">
        <f t="shared" si="26"/>
        <v>46005</v>
      </c>
      <c r="C323" s="7" t="str">
        <f t="shared" si="25"/>
        <v>日</v>
      </c>
      <c r="D323" s="7" t="str">
        <f>IF(B323="","",IF(COUNTIF(休館日・祝日!$B:$B,$B323)&gt;=1,"休館日",IF(E323="利用申込のない夜間閉館","★18時閉館",IF(C323="日","17時閉館",IF(COUNTIF(休館日・祝日!$E:$E,$B323)&gt;=1,"17時閉館","21時閉館")))))</f>
        <v>17時閉館</v>
      </c>
      <c r="E323" s="10"/>
      <c r="F323" s="147" t="str">
        <f t="shared" si="24"/>
        <v>夜間閉館ではなく17時閉館</v>
      </c>
    </row>
    <row r="324" spans="2:6" s="8" customFormat="1" ht="24" customHeight="1">
      <c r="B324" s="9">
        <f t="shared" si="26"/>
        <v>46006</v>
      </c>
      <c r="C324" s="7" t="str">
        <f t="shared" si="25"/>
        <v>月</v>
      </c>
      <c r="D324" s="7" t="str">
        <f>IF(B324="","",IF(COUNTIF(休館日・祝日!$B:$B,$B324)&gt;=1,"休館日",IF(E324="利用申込のない夜間閉館","★18時閉館",IF(C324="日","17時閉館",IF(COUNTIF(休館日・祝日!$E:$E,$B324)&gt;=1,"17時閉館","21時閉館")))))</f>
        <v>休館日</v>
      </c>
      <c r="E324" s="10"/>
      <c r="F324" s="147" t="str">
        <f t="shared" si="24"/>
        <v/>
      </c>
    </row>
    <row r="325" spans="2:6" s="8" customFormat="1" ht="24" customHeight="1">
      <c r="B325" s="9">
        <f t="shared" si="26"/>
        <v>46007</v>
      </c>
      <c r="C325" s="7" t="str">
        <f t="shared" si="25"/>
        <v>火</v>
      </c>
      <c r="D325" s="7" t="str">
        <f>IF(B325="","",IF(COUNTIF(休館日・祝日!$B:$B,$B325)&gt;=1,"休館日",IF(E325="利用申込のない夜間閉館","★18時閉館",IF(C325="日","17時閉館",IF(COUNTIF(休館日・祝日!$E:$E,$B325)&gt;=1,"17時閉館","21時閉館")))))</f>
        <v>★18時閉館</v>
      </c>
      <c r="E325" s="10" t="s">
        <v>33</v>
      </c>
      <c r="F325" s="147" t="str">
        <f t="shared" si="24"/>
        <v/>
      </c>
    </row>
    <row r="326" spans="2:6" s="8" customFormat="1" ht="24" customHeight="1">
      <c r="B326" s="9">
        <f t="shared" si="26"/>
        <v>46008</v>
      </c>
      <c r="C326" s="7" t="str">
        <f t="shared" si="25"/>
        <v>水</v>
      </c>
      <c r="D326" s="7" t="str">
        <f>IF(B326="","",IF(COUNTIF(休館日・祝日!$B:$B,$B326)&gt;=1,"休館日",IF(E326="利用申込のない夜間閉館","★18時閉館",IF(C326="日","17時閉館",IF(COUNTIF(休館日・祝日!$E:$E,$B326)&gt;=1,"17時閉館","21時閉館")))))</f>
        <v>21時閉館</v>
      </c>
      <c r="E326" s="10"/>
      <c r="F326" s="147" t="str">
        <f t="shared" si="24"/>
        <v/>
      </c>
    </row>
    <row r="327" spans="2:6" s="8" customFormat="1" ht="24" customHeight="1">
      <c r="B327" s="9">
        <f t="shared" si="26"/>
        <v>46009</v>
      </c>
      <c r="C327" s="7" t="str">
        <f t="shared" si="25"/>
        <v>木</v>
      </c>
      <c r="D327" s="7" t="str">
        <f>IF(B327="","",IF(COUNTIF(休館日・祝日!$B:$B,$B327)&gt;=1,"休館日",IF(E327="利用申込のない夜間閉館","★18時閉館",IF(C327="日","17時閉館",IF(COUNTIF(休館日・祝日!$E:$E,$B327)&gt;=1,"17時閉館","21時閉館")))))</f>
        <v>21時閉館</v>
      </c>
      <c r="E327" s="10"/>
      <c r="F327" s="147" t="str">
        <f t="shared" si="24"/>
        <v/>
      </c>
    </row>
    <row r="328" spans="2:6" s="8" customFormat="1" ht="24" customHeight="1">
      <c r="B328" s="9">
        <f t="shared" si="26"/>
        <v>46010</v>
      </c>
      <c r="C328" s="7" t="str">
        <f t="shared" si="25"/>
        <v>金</v>
      </c>
      <c r="D328" s="7" t="str">
        <f>IF(B328="","",IF(COUNTIF(休館日・祝日!$B:$B,$B328)&gt;=1,"休館日",IF(E328="利用申込のない夜間閉館","★18時閉館",IF(C328="日","17時閉館",IF(COUNTIF(休館日・祝日!$E:$E,$B328)&gt;=1,"17時閉館","21時閉館")))))</f>
        <v>21時閉館</v>
      </c>
      <c r="E328" s="10"/>
      <c r="F328" s="147" t="str">
        <f t="shared" si="24"/>
        <v/>
      </c>
    </row>
    <row r="329" spans="2:6" s="8" customFormat="1" ht="24" customHeight="1">
      <c r="B329" s="9">
        <f t="shared" si="26"/>
        <v>46011</v>
      </c>
      <c r="C329" s="7" t="str">
        <f t="shared" si="25"/>
        <v>土</v>
      </c>
      <c r="D329" s="7" t="str">
        <f>IF(B329="","",IF(COUNTIF(休館日・祝日!$B:$B,$B329)&gt;=1,"休館日",IF(E329="利用申込のない夜間閉館","★18時閉館",IF(C329="日","17時閉館",IF(COUNTIF(休館日・祝日!$E:$E,$B329)&gt;=1,"17時閉館","21時閉館")))))</f>
        <v>21時閉館</v>
      </c>
      <c r="E329" s="10"/>
      <c r="F329" s="147" t="str">
        <f t="shared" si="24"/>
        <v/>
      </c>
    </row>
    <row r="330" spans="2:6" s="8" customFormat="1" ht="24" customHeight="1">
      <c r="B330" s="9">
        <f t="shared" si="26"/>
        <v>46012</v>
      </c>
      <c r="C330" s="7" t="str">
        <f t="shared" si="25"/>
        <v>日</v>
      </c>
      <c r="D330" s="7" t="str">
        <f>IF(B330="","",IF(COUNTIF(休館日・祝日!$B:$B,$B330)&gt;=1,"休館日",IF(E330="利用申込のない夜間閉館","★18時閉館",IF(C330="日","17時閉館",IF(COUNTIF(休館日・祝日!$E:$E,$B330)&gt;=1,"17時閉館","21時閉館")))))</f>
        <v>17時閉館</v>
      </c>
      <c r="E330" s="10"/>
      <c r="F330" s="147" t="str">
        <f t="shared" si="24"/>
        <v>夜間閉館ではなく17時閉館</v>
      </c>
    </row>
    <row r="331" spans="2:6" s="8" customFormat="1" ht="24" customHeight="1">
      <c r="B331" s="9">
        <f t="shared" si="26"/>
        <v>46013</v>
      </c>
      <c r="C331" s="7" t="str">
        <f t="shared" si="25"/>
        <v>月</v>
      </c>
      <c r="D331" s="7" t="str">
        <f>IF(B331="","",IF(COUNTIF(休館日・祝日!$B:$B,$B331)&gt;=1,"休館日",IF(E331="利用申込のない夜間閉館","★18時閉館",IF(C331="日","17時閉館",IF(COUNTIF(休館日・祝日!$E:$E,$B331)&gt;=1,"17時閉館","21時閉館")))))</f>
        <v>★18時閉館</v>
      </c>
      <c r="E331" s="10" t="s">
        <v>33</v>
      </c>
      <c r="F331" s="147" t="str">
        <f t="shared" si="24"/>
        <v/>
      </c>
    </row>
    <row r="332" spans="2:6" s="8" customFormat="1" ht="24" customHeight="1">
      <c r="B332" s="9">
        <f t="shared" si="26"/>
        <v>46014</v>
      </c>
      <c r="C332" s="7" t="str">
        <f t="shared" si="25"/>
        <v>火</v>
      </c>
      <c r="D332" s="7" t="str">
        <f>IF(B332="","",IF(COUNTIF(休館日・祝日!$B:$B,$B332)&gt;=1,"休館日",IF(E332="利用申込のない夜間閉館","★18時閉館",IF(C332="日","17時閉館",IF(COUNTIF(休館日・祝日!$E:$E,$B332)&gt;=1,"17時閉館","21時閉館")))))</f>
        <v>21時閉館</v>
      </c>
      <c r="E332" s="10"/>
      <c r="F332" s="147" t="str">
        <f t="shared" si="24"/>
        <v/>
      </c>
    </row>
    <row r="333" spans="2:6" s="8" customFormat="1" ht="24" customHeight="1">
      <c r="B333" s="9">
        <f t="shared" si="26"/>
        <v>46015</v>
      </c>
      <c r="C333" s="7" t="str">
        <f t="shared" si="25"/>
        <v>水</v>
      </c>
      <c r="D333" s="7" t="str">
        <f>IF(B333="","",IF(COUNTIF(休館日・祝日!$B:$B,$B333)&gt;=1,"休館日",IF(E333="利用申込のない夜間閉館","★18時閉館",IF(C333="日","17時閉館",IF(COUNTIF(休館日・祝日!$E:$E,$B333)&gt;=1,"17時閉館","21時閉館")))))</f>
        <v>21時閉館</v>
      </c>
      <c r="E333" s="10"/>
      <c r="F333" s="147" t="str">
        <f t="shared" si="24"/>
        <v/>
      </c>
    </row>
    <row r="334" spans="2:6" s="8" customFormat="1" ht="24" customHeight="1">
      <c r="B334" s="9">
        <f t="shared" si="26"/>
        <v>46016</v>
      </c>
      <c r="C334" s="7" t="str">
        <f t="shared" si="25"/>
        <v>木</v>
      </c>
      <c r="D334" s="7" t="str">
        <f>IF(B334="","",IF(COUNTIF(休館日・祝日!$B:$B,$B334)&gt;=1,"休館日",IF(E334="利用申込のない夜間閉館","★18時閉館",IF(C334="日","17時閉館",IF(COUNTIF(休館日・祝日!$E:$E,$B334)&gt;=1,"17時閉館","21時閉館")))))</f>
        <v>★18時閉館</v>
      </c>
      <c r="E334" s="10" t="s">
        <v>33</v>
      </c>
      <c r="F334" s="147" t="str">
        <f t="shared" si="24"/>
        <v/>
      </c>
    </row>
    <row r="335" spans="2:6" s="8" customFormat="1" ht="24" customHeight="1">
      <c r="B335" s="9">
        <f t="shared" si="26"/>
        <v>46017</v>
      </c>
      <c r="C335" s="7" t="str">
        <f t="shared" si="25"/>
        <v>金</v>
      </c>
      <c r="D335" s="7" t="str">
        <f>IF(B335="","",IF(COUNTIF(休館日・祝日!$B:$B,$B335)&gt;=1,"休館日",IF(E335="利用申込のない夜間閉館","★18時閉館",IF(C335="日","17時閉館",IF(COUNTIF(休館日・祝日!$E:$E,$B335)&gt;=1,"17時閉館","21時閉館")))))</f>
        <v>21時閉館</v>
      </c>
      <c r="E335" s="10"/>
      <c r="F335" s="147" t="str">
        <f t="shared" si="24"/>
        <v/>
      </c>
    </row>
    <row r="336" spans="2:6" s="8" customFormat="1" ht="24" customHeight="1">
      <c r="B336" s="9">
        <f t="shared" si="26"/>
        <v>46018</v>
      </c>
      <c r="C336" s="7" t="str">
        <f t="shared" si="25"/>
        <v>土</v>
      </c>
      <c r="D336" s="7" t="str">
        <f>IF(B336="","",IF(COUNTIF(休館日・祝日!$B:$B,$B336)&gt;=1,"休館日",IF(E336="利用申込のない夜間閉館","★18時閉館",IF(C336="日","17時閉館",IF(COUNTIF(休館日・祝日!$E:$E,$B336)&gt;=1,"17時閉館","21時閉館")))))</f>
        <v>★18時閉館</v>
      </c>
      <c r="E336" s="10" t="s">
        <v>33</v>
      </c>
      <c r="F336" s="147" t="str">
        <f t="shared" si="24"/>
        <v/>
      </c>
    </row>
    <row r="337" spans="2:10" s="8" customFormat="1" ht="24" customHeight="1">
      <c r="B337" s="9">
        <f t="shared" si="26"/>
        <v>46019</v>
      </c>
      <c r="C337" s="7" t="str">
        <f t="shared" si="25"/>
        <v>日</v>
      </c>
      <c r="D337" s="7" t="str">
        <f>IF(B337="","",IF(COUNTIF(休館日・祝日!$B:$B,$B337)&gt;=1,"休館日",IF(E337="利用申込のない夜間閉館","★18時閉館",IF(C337="日","17時閉館",IF(COUNTIF(休館日・祝日!$E:$E,$B337)&gt;=1,"17時閉館","21時閉館")))))</f>
        <v>17時閉館</v>
      </c>
      <c r="E337" s="10"/>
      <c r="F337" s="147" t="str">
        <f t="shared" si="24"/>
        <v>夜間閉館ではなく17時閉館</v>
      </c>
    </row>
    <row r="338" spans="2:10" s="8" customFormat="1" ht="24" customHeight="1">
      <c r="B338" s="9">
        <f t="shared" si="26"/>
        <v>46020</v>
      </c>
      <c r="C338" s="7" t="str">
        <f t="shared" si="25"/>
        <v>月</v>
      </c>
      <c r="D338" s="7" t="str">
        <f>IF(B338="","",IF(COUNTIF(休館日・祝日!$B:$B,$B338)&gt;=1,"休館日",IF(E338="利用申込のない夜間閉館","★18時閉館",IF(C338="日","17時閉館",IF(COUNTIF(休館日・祝日!$E:$E,$B338)&gt;=1,"17時閉館","21時閉館")))))</f>
        <v>休館日</v>
      </c>
      <c r="E338" s="10"/>
      <c r="F338" s="147" t="str">
        <f t="shared" si="24"/>
        <v/>
      </c>
    </row>
    <row r="339" spans="2:10" s="8" customFormat="1" ht="24" customHeight="1">
      <c r="B339" s="9">
        <f t="shared" si="26"/>
        <v>46021</v>
      </c>
      <c r="C339" s="7" t="str">
        <f t="shared" si="25"/>
        <v>火</v>
      </c>
      <c r="D339" s="7" t="str">
        <f>IF(B339="","",IF(COUNTIF(休館日・祝日!$B:$B,$B339)&gt;=1,"休館日",IF(E339="利用申込のない夜間閉館","★18時閉館",IF(C339="日","17時閉館",IF(COUNTIF(休館日・祝日!$E:$E,$B339)&gt;=1,"17時閉館","21時閉館")))))</f>
        <v>休館日</v>
      </c>
      <c r="E339" s="10"/>
      <c r="F339" s="147" t="str">
        <f t="shared" si="24"/>
        <v/>
      </c>
    </row>
    <row r="340" spans="2:10" s="8" customFormat="1" ht="24" customHeight="1">
      <c r="B340" s="9">
        <f t="shared" si="26"/>
        <v>46022</v>
      </c>
      <c r="C340" s="7" t="str">
        <f t="shared" si="25"/>
        <v>水</v>
      </c>
      <c r="D340" s="7" t="str">
        <f>IF(B340="","",IF(COUNTIF(休館日・祝日!$B:$B,$B340)&gt;=1,"休館日",IF(E340="利用申込のない夜間閉館","★18時閉館",IF(C340="日","17時閉館",IF(COUNTIF(休館日・祝日!$E:$E,$B340)&gt;=1,"17時閉館","21時閉館")))))</f>
        <v>休館日</v>
      </c>
      <c r="E340" s="10"/>
      <c r="F340" s="147" t="str">
        <f t="shared" si="24"/>
        <v/>
      </c>
    </row>
    <row r="341" spans="2:10" ht="24" customHeight="1" thickBot="1"/>
    <row r="342" spans="2:10" ht="24" customHeight="1" thickBot="1">
      <c r="B342" s="72">
        <f>$B$1+1</f>
        <v>2026</v>
      </c>
      <c r="C342" s="4" t="s">
        <v>9</v>
      </c>
      <c r="F342" s="145" t="s">
        <v>0</v>
      </c>
      <c r="H342" s="21">
        <f>B343</f>
        <v>1</v>
      </c>
      <c r="I342" s="21" t="s">
        <v>28</v>
      </c>
    </row>
    <row r="343" spans="2:10" ht="24" customHeight="1" thickBot="1">
      <c r="B343" s="5">
        <v>1</v>
      </c>
      <c r="C343" s="4" t="s">
        <v>25</v>
      </c>
      <c r="H343" s="22" t="s">
        <v>33</v>
      </c>
      <c r="I343" s="22">
        <f>COUNTIF(E348:E378,H343)</f>
        <v>11</v>
      </c>
      <c r="J343" s="4" t="s">
        <v>51</v>
      </c>
    </row>
    <row r="344" spans="2:10" ht="24" customHeight="1">
      <c r="B344" s="6" t="s">
        <v>26</v>
      </c>
      <c r="F344" s="144"/>
    </row>
    <row r="345" spans="2:10" ht="26.25" customHeight="1">
      <c r="B345" s="4" t="s">
        <v>27</v>
      </c>
      <c r="F345" s="144"/>
    </row>
    <row r="346" spans="2:10" ht="26.25" customHeight="1">
      <c r="F346" s="144"/>
    </row>
    <row r="347" spans="2:10" s="8" customFormat="1" ht="36.75" customHeight="1">
      <c r="B347" s="151"/>
      <c r="C347" s="152"/>
      <c r="D347" s="60" t="s">
        <v>39</v>
      </c>
      <c r="E347" s="58" t="s">
        <v>38</v>
      </c>
      <c r="F347" s="146" t="s">
        <v>30</v>
      </c>
    </row>
    <row r="348" spans="2:10" s="8" customFormat="1" ht="24" customHeight="1">
      <c r="B348" s="9">
        <f>DATE(B342,B343,1)</f>
        <v>46023</v>
      </c>
      <c r="C348" s="7" t="str">
        <f>TEXT(B348,"aaa")</f>
        <v>木</v>
      </c>
      <c r="D348" s="7" t="str">
        <f>IF(B348="","",IF(COUNTIF(休館日・祝日!$B:$B,$B348)&gt;=1,"休館日",IF(E348="利用申込のない夜間閉館","★18時閉館",IF(C348="日","17時閉館",IF(COUNTIF(休館日・祝日!$E:$E,$B348)&gt;=1,"17時閉館","21時閉館")))))</f>
        <v>休館日</v>
      </c>
      <c r="E348" s="10"/>
      <c r="F348" s="147" t="str">
        <f t="shared" ref="F348:F378" si="27">IF(D348="17時閉館","夜間閉館ではなく17時閉館","")</f>
        <v/>
      </c>
    </row>
    <row r="349" spans="2:10" s="8" customFormat="1" ht="24" customHeight="1">
      <c r="B349" s="9">
        <f>IF(B348="","",IF(MONTH(B348+1)=$B$343,B348+1,""))</f>
        <v>46024</v>
      </c>
      <c r="C349" s="7" t="str">
        <f t="shared" ref="C349:C378" si="28">TEXT(B349,"aaa")</f>
        <v>金</v>
      </c>
      <c r="D349" s="7" t="str">
        <f>IF(B349="","",IF(COUNTIF(休館日・祝日!$B:$B,$B349)&gt;=1,"休館日",IF(E349="利用申込のない夜間閉館","★18時閉館",IF(C349="日","17時閉館",IF(COUNTIF(休館日・祝日!$E:$E,$B349)&gt;=1,"17時閉館","21時閉館")))))</f>
        <v>休館日</v>
      </c>
      <c r="E349" s="10"/>
      <c r="F349" s="147" t="str">
        <f t="shared" si="27"/>
        <v/>
      </c>
    </row>
    <row r="350" spans="2:10" s="8" customFormat="1" ht="24" customHeight="1">
      <c r="B350" s="9">
        <f t="shared" ref="B350:B378" si="29">IF(B349="","",IF(MONTH(B349+1)=$B$343,B349+1,""))</f>
        <v>46025</v>
      </c>
      <c r="C350" s="7" t="str">
        <f t="shared" si="28"/>
        <v>土</v>
      </c>
      <c r="D350" s="7" t="str">
        <f>IF(B350="","",IF(COUNTIF(休館日・祝日!$B:$B,$B350)&gt;=1,"休館日",IF(E350="利用申込のない夜間閉館","★18時閉館",IF(C350="日","17時閉館",IF(COUNTIF(休館日・祝日!$E:$E,$B350)&gt;=1,"17時閉館","21時閉館")))))</f>
        <v>休館日</v>
      </c>
      <c r="E350" s="10"/>
      <c r="F350" s="147" t="str">
        <f t="shared" si="27"/>
        <v/>
      </c>
    </row>
    <row r="351" spans="2:10" s="8" customFormat="1" ht="24" customHeight="1">
      <c r="B351" s="9">
        <f t="shared" si="29"/>
        <v>46026</v>
      </c>
      <c r="C351" s="7" t="str">
        <f t="shared" si="28"/>
        <v>日</v>
      </c>
      <c r="D351" s="7" t="str">
        <f>IF(B351="","",IF(COUNTIF(休館日・祝日!$B:$B,$B351)&gt;=1,"休館日",IF(E351="利用申込のない夜間閉館","★18時閉館",IF(C351="日","17時閉館",IF(COUNTIF(休館日・祝日!$E:$E,$B351)&gt;=1,"17時閉館","21時閉館")))))</f>
        <v>17時閉館</v>
      </c>
      <c r="E351" s="10"/>
      <c r="F351" s="147" t="str">
        <f t="shared" si="27"/>
        <v>夜間閉館ではなく17時閉館</v>
      </c>
    </row>
    <row r="352" spans="2:10" s="8" customFormat="1" ht="24" customHeight="1">
      <c r="B352" s="9">
        <f t="shared" si="29"/>
        <v>46027</v>
      </c>
      <c r="C352" s="7" t="str">
        <f t="shared" si="28"/>
        <v>月</v>
      </c>
      <c r="D352" s="7" t="str">
        <f>IF(B352="","",IF(COUNTIF(休館日・祝日!$B:$B,$B352)&gt;=1,"休館日",IF(E352="利用申込のない夜間閉館","★18時閉館",IF(C352="日","17時閉館",IF(COUNTIF(休館日・祝日!$E:$E,$B352)&gt;=1,"17時閉館","21時閉館")))))</f>
        <v>★18時閉館</v>
      </c>
      <c r="E352" s="10" t="s">
        <v>33</v>
      </c>
      <c r="F352" s="147" t="str">
        <f t="shared" si="27"/>
        <v/>
      </c>
    </row>
    <row r="353" spans="2:6" s="8" customFormat="1" ht="24" customHeight="1">
      <c r="B353" s="9">
        <f t="shared" si="29"/>
        <v>46028</v>
      </c>
      <c r="C353" s="7" t="str">
        <f t="shared" si="28"/>
        <v>火</v>
      </c>
      <c r="D353" s="7" t="str">
        <f>IF(B353="","",IF(COUNTIF(休館日・祝日!$B:$B,$B353)&gt;=1,"休館日",IF(E353="利用申込のない夜間閉館","★18時閉館",IF(C353="日","17時閉館",IF(COUNTIF(休館日・祝日!$E:$E,$B353)&gt;=1,"17時閉館","21時閉館")))))</f>
        <v>★18時閉館</v>
      </c>
      <c r="E353" s="10" t="s">
        <v>33</v>
      </c>
      <c r="F353" s="147" t="str">
        <f t="shared" si="27"/>
        <v/>
      </c>
    </row>
    <row r="354" spans="2:6" s="8" customFormat="1" ht="24" customHeight="1">
      <c r="B354" s="9">
        <f t="shared" si="29"/>
        <v>46029</v>
      </c>
      <c r="C354" s="7" t="str">
        <f t="shared" si="28"/>
        <v>水</v>
      </c>
      <c r="D354" s="7" t="str">
        <f>IF(B354="","",IF(COUNTIF(休館日・祝日!$B:$B,$B354)&gt;=1,"休館日",IF(E354="利用申込のない夜間閉館","★18時閉館",IF(C354="日","17時閉館",IF(COUNTIF(休館日・祝日!$E:$E,$B354)&gt;=1,"17時閉館","21時閉館")))))</f>
        <v>21時閉館</v>
      </c>
      <c r="E354" s="10"/>
      <c r="F354" s="147" t="str">
        <f t="shared" si="27"/>
        <v/>
      </c>
    </row>
    <row r="355" spans="2:6" s="8" customFormat="1" ht="24" customHeight="1">
      <c r="B355" s="9">
        <f t="shared" si="29"/>
        <v>46030</v>
      </c>
      <c r="C355" s="7" t="str">
        <f t="shared" si="28"/>
        <v>木</v>
      </c>
      <c r="D355" s="7" t="str">
        <f>IF(B355="","",IF(COUNTIF(休館日・祝日!$B:$B,$B355)&gt;=1,"休館日",IF(E355="利用申込のない夜間閉館","★18時閉館",IF(C355="日","17時閉館",IF(COUNTIF(休館日・祝日!$E:$E,$B355)&gt;=1,"17時閉館","21時閉館")))))</f>
        <v>★18時閉館</v>
      </c>
      <c r="E355" s="10" t="s">
        <v>33</v>
      </c>
      <c r="F355" s="147" t="str">
        <f t="shared" si="27"/>
        <v/>
      </c>
    </row>
    <row r="356" spans="2:6" s="8" customFormat="1" ht="24" customHeight="1">
      <c r="B356" s="9">
        <f t="shared" si="29"/>
        <v>46031</v>
      </c>
      <c r="C356" s="7" t="str">
        <f t="shared" si="28"/>
        <v>金</v>
      </c>
      <c r="D356" s="7" t="str">
        <f>IF(B356="","",IF(COUNTIF(休館日・祝日!$B:$B,$B356)&gt;=1,"休館日",IF(E356="利用申込のない夜間閉館","★18時閉館",IF(C356="日","17時閉館",IF(COUNTIF(休館日・祝日!$E:$E,$B356)&gt;=1,"17時閉館","21時閉館")))))</f>
        <v>21時閉館</v>
      </c>
      <c r="E356" s="10"/>
      <c r="F356" s="147" t="str">
        <f t="shared" si="27"/>
        <v/>
      </c>
    </row>
    <row r="357" spans="2:6" s="8" customFormat="1" ht="24" customHeight="1">
      <c r="B357" s="9">
        <f t="shared" si="29"/>
        <v>46032</v>
      </c>
      <c r="C357" s="7" t="str">
        <f t="shared" si="28"/>
        <v>土</v>
      </c>
      <c r="D357" s="7" t="str">
        <f>IF(B357="","",IF(COUNTIF(休館日・祝日!$B:$B,$B357)&gt;=1,"休館日",IF(E357="利用申込のない夜間閉館","★18時閉館",IF(C357="日","17時閉館",IF(COUNTIF(休館日・祝日!$E:$E,$B357)&gt;=1,"17時閉館","21時閉館")))))</f>
        <v>★18時閉館</v>
      </c>
      <c r="E357" s="10" t="s">
        <v>33</v>
      </c>
      <c r="F357" s="147" t="str">
        <f t="shared" si="27"/>
        <v/>
      </c>
    </row>
    <row r="358" spans="2:6" s="8" customFormat="1" ht="24" customHeight="1">
      <c r="B358" s="9">
        <f t="shared" si="29"/>
        <v>46033</v>
      </c>
      <c r="C358" s="7" t="str">
        <f t="shared" si="28"/>
        <v>日</v>
      </c>
      <c r="D358" s="7" t="str">
        <f>IF(B358="","",IF(COUNTIF(休館日・祝日!$B:$B,$B358)&gt;=1,"休館日",IF(E358="利用申込のない夜間閉館","★18時閉館",IF(C358="日","17時閉館",IF(COUNTIF(休館日・祝日!$E:$E,$B358)&gt;=1,"17時閉館","21時閉館")))))</f>
        <v>17時閉館</v>
      </c>
      <c r="E358" s="10"/>
      <c r="F358" s="147" t="str">
        <f t="shared" si="27"/>
        <v>夜間閉館ではなく17時閉館</v>
      </c>
    </row>
    <row r="359" spans="2:6" s="8" customFormat="1" ht="24" customHeight="1">
      <c r="B359" s="9">
        <f t="shared" si="29"/>
        <v>46034</v>
      </c>
      <c r="C359" s="7" t="str">
        <f t="shared" si="28"/>
        <v>月</v>
      </c>
      <c r="D359" s="7" t="str">
        <f>IF(B359="","",IF(COUNTIF(休館日・祝日!$B:$B,$B359)&gt;=1,"休館日",IF(E359="利用申込のない夜間閉館","★18時閉館",IF(C359="日","17時閉館",IF(COUNTIF(休館日・祝日!$E:$E,$B359)&gt;=1,"17時閉館","21時閉館")))))</f>
        <v>17時閉館</v>
      </c>
      <c r="E359" s="10"/>
      <c r="F359" s="147" t="str">
        <f t="shared" si="27"/>
        <v>夜間閉館ではなく17時閉館</v>
      </c>
    </row>
    <row r="360" spans="2:6" s="8" customFormat="1" ht="24" customHeight="1">
      <c r="B360" s="9">
        <f t="shared" si="29"/>
        <v>46035</v>
      </c>
      <c r="C360" s="7" t="str">
        <f t="shared" si="28"/>
        <v>火</v>
      </c>
      <c r="D360" s="7" t="str">
        <f>IF(B360="","",IF(COUNTIF(休館日・祝日!$B:$B,$B360)&gt;=1,"休館日",IF(E360="利用申込のない夜間閉館","★18時閉館",IF(C360="日","17時閉館",IF(COUNTIF(休館日・祝日!$E:$E,$B360)&gt;=1,"17時閉館","21時閉館")))))</f>
        <v>21時閉館</v>
      </c>
      <c r="E360" s="10"/>
      <c r="F360" s="147" t="str">
        <f t="shared" si="27"/>
        <v/>
      </c>
    </row>
    <row r="361" spans="2:6" s="8" customFormat="1" ht="24" customHeight="1">
      <c r="B361" s="9">
        <f t="shared" si="29"/>
        <v>46036</v>
      </c>
      <c r="C361" s="7" t="str">
        <f t="shared" si="28"/>
        <v>水</v>
      </c>
      <c r="D361" s="7" t="str">
        <f>IF(B361="","",IF(COUNTIF(休館日・祝日!$B:$B,$B361)&gt;=1,"休館日",IF(E361="利用申込のない夜間閉館","★18時閉館",IF(C361="日","17時閉館",IF(COUNTIF(休館日・祝日!$E:$E,$B361)&gt;=1,"17時閉館","21時閉館")))))</f>
        <v>21時閉館</v>
      </c>
      <c r="E361" s="10"/>
      <c r="F361" s="147" t="str">
        <f t="shared" si="27"/>
        <v/>
      </c>
    </row>
    <row r="362" spans="2:6" s="8" customFormat="1" ht="24" customHeight="1">
      <c r="B362" s="9">
        <f t="shared" si="29"/>
        <v>46037</v>
      </c>
      <c r="C362" s="7" t="str">
        <f t="shared" si="28"/>
        <v>木</v>
      </c>
      <c r="D362" s="7" t="str">
        <f>IF(B362="","",IF(COUNTIF(休館日・祝日!$B:$B,$B362)&gt;=1,"休館日",IF(E362="利用申込のない夜間閉館","★18時閉館",IF(C362="日","17時閉館",IF(COUNTIF(休館日・祝日!$E:$E,$B362)&gt;=1,"17時閉館","21時閉館")))))</f>
        <v>★18時閉館</v>
      </c>
      <c r="E362" s="10" t="s">
        <v>33</v>
      </c>
      <c r="F362" s="147" t="str">
        <f t="shared" si="27"/>
        <v/>
      </c>
    </row>
    <row r="363" spans="2:6" s="8" customFormat="1" ht="24" customHeight="1">
      <c r="B363" s="9">
        <f t="shared" si="29"/>
        <v>46038</v>
      </c>
      <c r="C363" s="7" t="str">
        <f t="shared" si="28"/>
        <v>金</v>
      </c>
      <c r="D363" s="7" t="str">
        <f>IF(B363="","",IF(COUNTIF(休館日・祝日!$B:$B,$B363)&gt;=1,"休館日",IF(E363="利用申込のない夜間閉館","★18時閉館",IF(C363="日","17時閉館",IF(COUNTIF(休館日・祝日!$E:$E,$B363)&gt;=1,"17時閉館","21時閉館")))))</f>
        <v>21時閉館</v>
      </c>
      <c r="E363" s="10"/>
      <c r="F363" s="147" t="str">
        <f t="shared" si="27"/>
        <v/>
      </c>
    </row>
    <row r="364" spans="2:6" s="8" customFormat="1" ht="24" customHeight="1">
      <c r="B364" s="9">
        <f t="shared" si="29"/>
        <v>46039</v>
      </c>
      <c r="C364" s="7" t="str">
        <f t="shared" si="28"/>
        <v>土</v>
      </c>
      <c r="D364" s="7" t="str">
        <f>IF(B364="","",IF(COUNTIF(休館日・祝日!$B:$B,$B364)&gt;=1,"休館日",IF(E364="利用申込のない夜間閉館","★18時閉館",IF(C364="日","17時閉館",IF(COUNTIF(休館日・祝日!$E:$E,$B364)&gt;=1,"17時閉館","21時閉館")))))</f>
        <v>21時閉館</v>
      </c>
      <c r="E364" s="10"/>
      <c r="F364" s="147" t="str">
        <f t="shared" si="27"/>
        <v/>
      </c>
    </row>
    <row r="365" spans="2:6" s="8" customFormat="1" ht="24" customHeight="1">
      <c r="B365" s="9">
        <f t="shared" si="29"/>
        <v>46040</v>
      </c>
      <c r="C365" s="7" t="str">
        <f t="shared" si="28"/>
        <v>日</v>
      </c>
      <c r="D365" s="7" t="str">
        <f>IF(B365="","",IF(COUNTIF(休館日・祝日!$B:$B,$B365)&gt;=1,"休館日",IF(E365="利用申込のない夜間閉館","★18時閉館",IF(C365="日","17時閉館",IF(COUNTIF(休館日・祝日!$E:$E,$B365)&gt;=1,"17時閉館","21時閉館")))))</f>
        <v>17時閉館</v>
      </c>
      <c r="E365" s="10"/>
      <c r="F365" s="147" t="str">
        <f t="shared" si="27"/>
        <v>夜間閉館ではなく17時閉館</v>
      </c>
    </row>
    <row r="366" spans="2:6" s="8" customFormat="1" ht="24" customHeight="1">
      <c r="B366" s="9">
        <f t="shared" si="29"/>
        <v>46041</v>
      </c>
      <c r="C366" s="7" t="str">
        <f t="shared" si="28"/>
        <v>月</v>
      </c>
      <c r="D366" s="7" t="str">
        <f>IF(B366="","",IF(COUNTIF(休館日・祝日!$B:$B,$B366)&gt;=1,"休館日",IF(E366="利用申込のない夜間閉館","★18時閉館",IF(C366="日","17時閉館",IF(COUNTIF(休館日・祝日!$E:$E,$B366)&gt;=1,"17時閉館","21時閉館")))))</f>
        <v>休館日</v>
      </c>
      <c r="E366" s="10"/>
      <c r="F366" s="147" t="str">
        <f t="shared" si="27"/>
        <v/>
      </c>
    </row>
    <row r="367" spans="2:6" s="8" customFormat="1" ht="24" customHeight="1">
      <c r="B367" s="9">
        <f t="shared" si="29"/>
        <v>46042</v>
      </c>
      <c r="C367" s="7" t="str">
        <f t="shared" si="28"/>
        <v>火</v>
      </c>
      <c r="D367" s="7" t="str">
        <f>IF(B367="","",IF(COUNTIF(休館日・祝日!$B:$B,$B367)&gt;=1,"休館日",IF(E367="利用申込のない夜間閉館","★18時閉館",IF(C367="日","17時閉館",IF(COUNTIF(休館日・祝日!$E:$E,$B367)&gt;=1,"17時閉館","21時閉館")))))</f>
        <v>★18時閉館</v>
      </c>
      <c r="E367" s="10" t="s">
        <v>33</v>
      </c>
      <c r="F367" s="147" t="str">
        <f t="shared" si="27"/>
        <v/>
      </c>
    </row>
    <row r="368" spans="2:6" s="8" customFormat="1" ht="24" customHeight="1">
      <c r="B368" s="9">
        <f t="shared" si="29"/>
        <v>46043</v>
      </c>
      <c r="C368" s="7" t="str">
        <f t="shared" si="28"/>
        <v>水</v>
      </c>
      <c r="D368" s="7" t="str">
        <f>IF(B368="","",IF(COUNTIF(休館日・祝日!$B:$B,$B368)&gt;=1,"休館日",IF(E368="利用申込のない夜間閉館","★18時閉館",IF(C368="日","17時閉館",IF(COUNTIF(休館日・祝日!$E:$E,$B368)&gt;=1,"17時閉館","21時閉館")))))</f>
        <v>21時閉館</v>
      </c>
      <c r="E368" s="10"/>
      <c r="F368" s="147" t="str">
        <f t="shared" si="27"/>
        <v/>
      </c>
    </row>
    <row r="369" spans="2:10" s="8" customFormat="1" ht="24" customHeight="1">
      <c r="B369" s="9">
        <f t="shared" si="29"/>
        <v>46044</v>
      </c>
      <c r="C369" s="7" t="str">
        <f t="shared" si="28"/>
        <v>木</v>
      </c>
      <c r="D369" s="7" t="str">
        <f>IF(B369="","",IF(COUNTIF(休館日・祝日!$B:$B,$B369)&gt;=1,"休館日",IF(E369="利用申込のない夜間閉館","★18時閉館",IF(C369="日","17時閉館",IF(COUNTIF(休館日・祝日!$E:$E,$B369)&gt;=1,"17時閉館","21時閉館")))))</f>
        <v>★18時閉館</v>
      </c>
      <c r="E369" s="10" t="s">
        <v>33</v>
      </c>
      <c r="F369" s="147" t="str">
        <f t="shared" si="27"/>
        <v/>
      </c>
    </row>
    <row r="370" spans="2:10" s="8" customFormat="1" ht="24" customHeight="1">
      <c r="B370" s="9">
        <f t="shared" si="29"/>
        <v>46045</v>
      </c>
      <c r="C370" s="7" t="str">
        <f t="shared" si="28"/>
        <v>金</v>
      </c>
      <c r="D370" s="7" t="str">
        <f>IF(B370="","",IF(COUNTIF(休館日・祝日!$B:$B,$B370)&gt;=1,"休館日",IF(E370="利用申込のない夜間閉館","★18時閉館",IF(C370="日","17時閉館",IF(COUNTIF(休館日・祝日!$E:$E,$B370)&gt;=1,"17時閉館","21時閉館")))))</f>
        <v>21時閉館</v>
      </c>
      <c r="E370" s="10"/>
      <c r="F370" s="147" t="str">
        <f t="shared" si="27"/>
        <v/>
      </c>
    </row>
    <row r="371" spans="2:10" s="8" customFormat="1" ht="24" customHeight="1">
      <c r="B371" s="9">
        <f t="shared" si="29"/>
        <v>46046</v>
      </c>
      <c r="C371" s="7" t="str">
        <f t="shared" si="28"/>
        <v>土</v>
      </c>
      <c r="D371" s="7" t="str">
        <f>IF(B371="","",IF(COUNTIF(休館日・祝日!$B:$B,$B371)&gt;=1,"休館日",IF(E371="利用申込のない夜間閉館","★18時閉館",IF(C371="日","17時閉館",IF(COUNTIF(休館日・祝日!$E:$E,$B371)&gt;=1,"17時閉館","21時閉館")))))</f>
        <v>★18時閉館</v>
      </c>
      <c r="E371" s="10" t="s">
        <v>33</v>
      </c>
      <c r="F371" s="147" t="str">
        <f t="shared" si="27"/>
        <v/>
      </c>
    </row>
    <row r="372" spans="2:10" s="8" customFormat="1" ht="24" customHeight="1">
      <c r="B372" s="9">
        <f t="shared" si="29"/>
        <v>46047</v>
      </c>
      <c r="C372" s="7" t="str">
        <f t="shared" si="28"/>
        <v>日</v>
      </c>
      <c r="D372" s="7" t="str">
        <f>IF(B372="","",IF(COUNTIF(休館日・祝日!$B:$B,$B372)&gt;=1,"休館日",IF(E372="利用申込のない夜間閉館","★18時閉館",IF(C372="日","17時閉館",IF(COUNTIF(休館日・祝日!$E:$E,$B372)&gt;=1,"17時閉館","21時閉館")))))</f>
        <v>17時閉館</v>
      </c>
      <c r="E372" s="10"/>
      <c r="F372" s="147" t="str">
        <f t="shared" si="27"/>
        <v>夜間閉館ではなく17時閉館</v>
      </c>
    </row>
    <row r="373" spans="2:10" s="8" customFormat="1" ht="24" customHeight="1">
      <c r="B373" s="9">
        <f t="shared" si="29"/>
        <v>46048</v>
      </c>
      <c r="C373" s="7" t="str">
        <f t="shared" si="28"/>
        <v>月</v>
      </c>
      <c r="D373" s="7" t="str">
        <f>IF(B373="","",IF(COUNTIF(休館日・祝日!$B:$B,$B373)&gt;=1,"休館日",IF(E373="利用申込のない夜間閉館","★18時閉館",IF(C373="日","17時閉館",IF(COUNTIF(休館日・祝日!$E:$E,$B373)&gt;=1,"17時閉館","21時閉館")))))</f>
        <v>★18時閉館</v>
      </c>
      <c r="E373" s="10" t="s">
        <v>33</v>
      </c>
      <c r="F373" s="147" t="str">
        <f t="shared" si="27"/>
        <v/>
      </c>
    </row>
    <row r="374" spans="2:10" s="8" customFormat="1" ht="24" customHeight="1">
      <c r="B374" s="9">
        <f t="shared" si="29"/>
        <v>46049</v>
      </c>
      <c r="C374" s="7" t="str">
        <f t="shared" si="28"/>
        <v>火</v>
      </c>
      <c r="D374" s="7" t="str">
        <f>IF(B374="","",IF(COUNTIF(休館日・祝日!$B:$B,$B374)&gt;=1,"休館日",IF(E374="利用申込のない夜間閉館","★18時閉館",IF(C374="日","17時閉館",IF(COUNTIF(休館日・祝日!$E:$E,$B374)&gt;=1,"17時閉館","21時閉館")))))</f>
        <v>21時閉館</v>
      </c>
      <c r="E374" s="10"/>
      <c r="F374" s="147" t="str">
        <f t="shared" si="27"/>
        <v/>
      </c>
    </row>
    <row r="375" spans="2:10" s="8" customFormat="1" ht="24" customHeight="1">
      <c r="B375" s="9">
        <f t="shared" si="29"/>
        <v>46050</v>
      </c>
      <c r="C375" s="7" t="str">
        <f t="shared" si="28"/>
        <v>水</v>
      </c>
      <c r="D375" s="7" t="str">
        <f>IF(B375="","",IF(COUNTIF(休館日・祝日!$B:$B,$B375)&gt;=1,"休館日",IF(E375="利用申込のない夜間閉館","★18時閉館",IF(C375="日","17時閉館",IF(COUNTIF(休館日・祝日!$E:$E,$B375)&gt;=1,"17時閉館","21時閉館")))))</f>
        <v>21時閉館</v>
      </c>
      <c r="E375" s="10"/>
      <c r="F375" s="147" t="str">
        <f t="shared" si="27"/>
        <v/>
      </c>
    </row>
    <row r="376" spans="2:10" s="8" customFormat="1" ht="24" customHeight="1">
      <c r="B376" s="9">
        <f t="shared" si="29"/>
        <v>46051</v>
      </c>
      <c r="C376" s="7" t="str">
        <f t="shared" si="28"/>
        <v>木</v>
      </c>
      <c r="D376" s="7" t="str">
        <f>IF(B376="","",IF(COUNTIF(休館日・祝日!$B:$B,$B376)&gt;=1,"休館日",IF(E376="利用申込のない夜間閉館","★18時閉館",IF(C376="日","17時閉館",IF(COUNTIF(休館日・祝日!$E:$E,$B376)&gt;=1,"17時閉館","21時閉館")))))</f>
        <v>★18時閉館</v>
      </c>
      <c r="E376" s="10" t="s">
        <v>33</v>
      </c>
      <c r="F376" s="147" t="str">
        <f t="shared" si="27"/>
        <v/>
      </c>
    </row>
    <row r="377" spans="2:10" s="8" customFormat="1" ht="24" customHeight="1">
      <c r="B377" s="9">
        <f t="shared" si="29"/>
        <v>46052</v>
      </c>
      <c r="C377" s="7" t="str">
        <f t="shared" si="28"/>
        <v>金</v>
      </c>
      <c r="D377" s="7" t="str">
        <f>IF(B377="","",IF(COUNTIF(休館日・祝日!$B:$B,$B377)&gt;=1,"休館日",IF(E377="利用申込のない夜間閉館","★18時閉館",IF(C377="日","17時閉館",IF(COUNTIF(休館日・祝日!$E:$E,$B377)&gt;=1,"17時閉館","21時閉館")))))</f>
        <v>21時閉館</v>
      </c>
      <c r="E377" s="10"/>
      <c r="F377" s="147" t="str">
        <f t="shared" si="27"/>
        <v/>
      </c>
    </row>
    <row r="378" spans="2:10" s="8" customFormat="1" ht="24" customHeight="1">
      <c r="B378" s="9">
        <f t="shared" si="29"/>
        <v>46053</v>
      </c>
      <c r="C378" s="7" t="str">
        <f t="shared" si="28"/>
        <v>土</v>
      </c>
      <c r="D378" s="7" t="str">
        <f>IF(B378="","",IF(COUNTIF(休館日・祝日!$B:$B,$B378)&gt;=1,"休館日",IF(E378="利用申込のない夜間閉館","★18時閉館",IF(C378="日","17時閉館",IF(COUNTIF(休館日・祝日!$E:$E,$B378)&gt;=1,"17時閉館","21時閉館")))))</f>
        <v>★18時閉館</v>
      </c>
      <c r="E378" s="10" t="s">
        <v>33</v>
      </c>
      <c r="F378" s="147" t="str">
        <f t="shared" si="27"/>
        <v/>
      </c>
    </row>
    <row r="379" spans="2:10" ht="24" customHeight="1" thickBot="1"/>
    <row r="380" spans="2:10" ht="24" customHeight="1" thickBot="1">
      <c r="B380" s="72">
        <f>$B$1+1</f>
        <v>2026</v>
      </c>
      <c r="C380" s="4" t="s">
        <v>9</v>
      </c>
      <c r="F380" s="145" t="s">
        <v>0</v>
      </c>
      <c r="H380" s="21">
        <f>B381</f>
        <v>2</v>
      </c>
      <c r="I380" s="21" t="s">
        <v>28</v>
      </c>
    </row>
    <row r="381" spans="2:10" ht="24" customHeight="1" thickBot="1">
      <c r="B381" s="5">
        <v>2</v>
      </c>
      <c r="C381" s="4" t="s">
        <v>25</v>
      </c>
      <c r="H381" s="22" t="s">
        <v>33</v>
      </c>
      <c r="I381" s="22">
        <f>COUNTIF(E386:E416,H381)</f>
        <v>9</v>
      </c>
      <c r="J381" s="4" t="s">
        <v>51</v>
      </c>
    </row>
    <row r="382" spans="2:10" ht="24" customHeight="1">
      <c r="B382" s="6" t="s">
        <v>26</v>
      </c>
      <c r="F382" s="144"/>
    </row>
    <row r="383" spans="2:10" ht="26.25" customHeight="1">
      <c r="B383" s="4" t="s">
        <v>27</v>
      </c>
      <c r="F383" s="144"/>
    </row>
    <row r="384" spans="2:10" ht="26.25" customHeight="1">
      <c r="F384" s="144"/>
    </row>
    <row r="385" spans="2:6" s="8" customFormat="1" ht="36.75" customHeight="1">
      <c r="B385" s="151"/>
      <c r="C385" s="152"/>
      <c r="D385" s="60" t="s">
        <v>39</v>
      </c>
      <c r="E385" s="58" t="s">
        <v>38</v>
      </c>
      <c r="F385" s="146" t="s">
        <v>30</v>
      </c>
    </row>
    <row r="386" spans="2:6" s="8" customFormat="1" ht="24" customHeight="1">
      <c r="B386" s="9">
        <f>DATE(B380,B381,1)</f>
        <v>46054</v>
      </c>
      <c r="C386" s="7" t="str">
        <f>TEXT(B386,"aaa")</f>
        <v>日</v>
      </c>
      <c r="D386" s="7" t="str">
        <f>IF(B386="","",IF(COUNTIF(休館日・祝日!$B:$B,$B386)&gt;=1,"休館日",IF(E386="利用申込のない夜間閉館","★18時閉館",IF(C386="日","17時閉館",IF(COUNTIF(休館日・祝日!$E:$E,$B386)&gt;=1,"17時閉館","21時閉館")))))</f>
        <v>17時閉館</v>
      </c>
      <c r="E386" s="10"/>
      <c r="F386" s="147" t="str">
        <f t="shared" ref="F386:F416" si="30">IF(D386="17時閉館","夜間閉館ではなく17時閉館","")</f>
        <v>夜間閉館ではなく17時閉館</v>
      </c>
    </row>
    <row r="387" spans="2:6" s="8" customFormat="1" ht="24" customHeight="1">
      <c r="B387" s="9">
        <f>IF(B386="","",IF(MONTH(B386+1)=$B$381,B386+1,""))</f>
        <v>46055</v>
      </c>
      <c r="C387" s="7" t="str">
        <f t="shared" ref="C387:C416" si="31">TEXT(B387,"aaa")</f>
        <v>月</v>
      </c>
      <c r="D387" s="7" t="str">
        <f>IF(B387="","",IF(COUNTIF(休館日・祝日!$B:$B,$B387)&gt;=1,"休館日",IF(E387="利用申込のない夜間閉館","★18時閉館",IF(C387="日","17時閉館",IF(COUNTIF(休館日・祝日!$E:$E,$B387)&gt;=1,"17時閉館","21時閉館")))))</f>
        <v>★18時閉館</v>
      </c>
      <c r="E387" s="10" t="s">
        <v>33</v>
      </c>
      <c r="F387" s="147" t="str">
        <f t="shared" si="30"/>
        <v/>
      </c>
    </row>
    <row r="388" spans="2:6" s="8" customFormat="1" ht="24" customHeight="1">
      <c r="B388" s="9">
        <f t="shared" ref="B388:B416" si="32">IF(B387="","",IF(MONTH(B387+1)=$B$381,B387+1,""))</f>
        <v>46056</v>
      </c>
      <c r="C388" s="7" t="str">
        <f t="shared" si="31"/>
        <v>火</v>
      </c>
      <c r="D388" s="7" t="str">
        <f>IF(B388="","",IF(COUNTIF(休館日・祝日!$B:$B,$B388)&gt;=1,"休館日",IF(E388="利用申込のない夜間閉館","★18時閉館",IF(C388="日","17時閉館",IF(COUNTIF(休館日・祝日!$E:$E,$B388)&gt;=1,"17時閉館","21時閉館")))))</f>
        <v>★18時閉館</v>
      </c>
      <c r="E388" s="10" t="s">
        <v>33</v>
      </c>
      <c r="F388" s="147" t="str">
        <f t="shared" si="30"/>
        <v/>
      </c>
    </row>
    <row r="389" spans="2:6" s="8" customFormat="1" ht="24" customHeight="1">
      <c r="B389" s="9">
        <f t="shared" si="32"/>
        <v>46057</v>
      </c>
      <c r="C389" s="7" t="str">
        <f t="shared" si="31"/>
        <v>水</v>
      </c>
      <c r="D389" s="7" t="str">
        <f>IF(B389="","",IF(COUNTIF(休館日・祝日!$B:$B,$B389)&gt;=1,"休館日",IF(E389="利用申込のない夜間閉館","★18時閉館",IF(C389="日","17時閉館",IF(COUNTIF(休館日・祝日!$E:$E,$B389)&gt;=1,"17時閉館","21時閉館")))))</f>
        <v>21時閉館</v>
      </c>
      <c r="E389" s="10"/>
      <c r="F389" s="147" t="str">
        <f t="shared" si="30"/>
        <v/>
      </c>
    </row>
    <row r="390" spans="2:6" s="8" customFormat="1" ht="24" customHeight="1">
      <c r="B390" s="9">
        <f t="shared" si="32"/>
        <v>46058</v>
      </c>
      <c r="C390" s="7" t="str">
        <f t="shared" si="31"/>
        <v>木</v>
      </c>
      <c r="D390" s="7" t="str">
        <f>IF(B390="","",IF(COUNTIF(休館日・祝日!$B:$B,$B390)&gt;=1,"休館日",IF(E390="利用申込のない夜間閉館","★18時閉館",IF(C390="日","17時閉館",IF(COUNTIF(休館日・祝日!$E:$E,$B390)&gt;=1,"17時閉館","21時閉館")))))</f>
        <v>★18時閉館</v>
      </c>
      <c r="E390" s="10" t="s">
        <v>33</v>
      </c>
      <c r="F390" s="147" t="str">
        <f t="shared" si="30"/>
        <v/>
      </c>
    </row>
    <row r="391" spans="2:6" s="8" customFormat="1" ht="24" customHeight="1">
      <c r="B391" s="9">
        <f t="shared" si="32"/>
        <v>46059</v>
      </c>
      <c r="C391" s="7" t="str">
        <f t="shared" si="31"/>
        <v>金</v>
      </c>
      <c r="D391" s="7" t="str">
        <f>IF(B391="","",IF(COUNTIF(休館日・祝日!$B:$B,$B391)&gt;=1,"休館日",IF(E391="利用申込のない夜間閉館","★18時閉館",IF(C391="日","17時閉館",IF(COUNTIF(休館日・祝日!$E:$E,$B391)&gt;=1,"17時閉館","21時閉館")))))</f>
        <v>21時閉館</v>
      </c>
      <c r="E391" s="10"/>
      <c r="F391" s="147" t="str">
        <f t="shared" si="30"/>
        <v/>
      </c>
    </row>
    <row r="392" spans="2:6" s="8" customFormat="1" ht="24" customHeight="1">
      <c r="B392" s="9">
        <f t="shared" si="32"/>
        <v>46060</v>
      </c>
      <c r="C392" s="7" t="str">
        <f t="shared" si="31"/>
        <v>土</v>
      </c>
      <c r="D392" s="7" t="str">
        <f>IF(B392="","",IF(COUNTIF(休館日・祝日!$B:$B,$B392)&gt;=1,"休館日",IF(E392="利用申込のない夜間閉館","★18時閉館",IF(C392="日","17時閉館",IF(COUNTIF(休館日・祝日!$E:$E,$B392)&gt;=1,"17時閉館","21時閉館")))))</f>
        <v>★18時閉館</v>
      </c>
      <c r="E392" s="10" t="s">
        <v>33</v>
      </c>
      <c r="F392" s="147" t="str">
        <f t="shared" si="30"/>
        <v/>
      </c>
    </row>
    <row r="393" spans="2:6" s="8" customFormat="1" ht="24" customHeight="1">
      <c r="B393" s="9">
        <f t="shared" si="32"/>
        <v>46061</v>
      </c>
      <c r="C393" s="7" t="str">
        <f t="shared" si="31"/>
        <v>日</v>
      </c>
      <c r="D393" s="7" t="str">
        <f>IF(B393="","",IF(COUNTIF(休館日・祝日!$B:$B,$B393)&gt;=1,"休館日",IF(E393="利用申込のない夜間閉館","★18時閉館",IF(C393="日","17時閉館",IF(COUNTIF(休館日・祝日!$E:$E,$B393)&gt;=1,"17時閉館","21時閉館")))))</f>
        <v>17時閉館</v>
      </c>
      <c r="E393" s="10"/>
      <c r="F393" s="147" t="str">
        <f t="shared" si="30"/>
        <v>夜間閉館ではなく17時閉館</v>
      </c>
    </row>
    <row r="394" spans="2:6" s="8" customFormat="1" ht="24" customHeight="1">
      <c r="B394" s="9">
        <f t="shared" si="32"/>
        <v>46062</v>
      </c>
      <c r="C394" s="7" t="str">
        <f t="shared" si="31"/>
        <v>月</v>
      </c>
      <c r="D394" s="7" t="str">
        <f>IF(B394="","",IF(COUNTIF(休館日・祝日!$B:$B,$B394)&gt;=1,"休館日",IF(E394="利用申込のない夜間閉館","★18時閉館",IF(C394="日","17時閉館",IF(COUNTIF(休館日・祝日!$E:$E,$B394)&gt;=1,"17時閉館","21時閉館")))))</f>
        <v>★18時閉館</v>
      </c>
      <c r="E394" s="10" t="s">
        <v>33</v>
      </c>
      <c r="F394" s="147" t="str">
        <f t="shared" si="30"/>
        <v/>
      </c>
    </row>
    <row r="395" spans="2:6" s="8" customFormat="1" ht="24" customHeight="1">
      <c r="B395" s="9">
        <f t="shared" si="32"/>
        <v>46063</v>
      </c>
      <c r="C395" s="7" t="str">
        <f t="shared" si="31"/>
        <v>火</v>
      </c>
      <c r="D395" s="7" t="str">
        <f>IF(B395="","",IF(COUNTIF(休館日・祝日!$B:$B,$B395)&gt;=1,"休館日",IF(E395="利用申込のない夜間閉館","★18時閉館",IF(C395="日","17時閉館",IF(COUNTIF(休館日・祝日!$E:$E,$B395)&gt;=1,"17時閉館","21時閉館")))))</f>
        <v>21時閉館</v>
      </c>
      <c r="E395" s="10"/>
      <c r="F395" s="147" t="str">
        <f t="shared" si="30"/>
        <v/>
      </c>
    </row>
    <row r="396" spans="2:6" s="8" customFormat="1" ht="24" customHeight="1">
      <c r="B396" s="9">
        <f t="shared" si="32"/>
        <v>46064</v>
      </c>
      <c r="C396" s="7" t="str">
        <f t="shared" si="31"/>
        <v>水</v>
      </c>
      <c r="D396" s="7" t="str">
        <f>IF(B396="","",IF(COUNTIF(休館日・祝日!$B:$B,$B396)&gt;=1,"休館日",IF(E396="利用申込のない夜間閉館","★18時閉館",IF(C396="日","17時閉館",IF(COUNTIF(休館日・祝日!$E:$E,$B396)&gt;=1,"17時閉館","21時閉館")))))</f>
        <v>17時閉館</v>
      </c>
      <c r="E396" s="10"/>
      <c r="F396" s="147" t="str">
        <f t="shared" si="30"/>
        <v>夜間閉館ではなく17時閉館</v>
      </c>
    </row>
    <row r="397" spans="2:6" s="8" customFormat="1" ht="24" customHeight="1">
      <c r="B397" s="9">
        <f t="shared" si="32"/>
        <v>46065</v>
      </c>
      <c r="C397" s="7" t="str">
        <f t="shared" si="31"/>
        <v>木</v>
      </c>
      <c r="D397" s="7" t="str">
        <f>IF(B397="","",IF(COUNTIF(休館日・祝日!$B:$B,$B397)&gt;=1,"休館日",IF(E397="利用申込のない夜間閉館","★18時閉館",IF(C397="日","17時閉館",IF(COUNTIF(休館日・祝日!$E:$E,$B397)&gt;=1,"17時閉館","21時閉館")))))</f>
        <v>★18時閉館</v>
      </c>
      <c r="E397" s="10" t="s">
        <v>33</v>
      </c>
      <c r="F397" s="147" t="str">
        <f t="shared" si="30"/>
        <v/>
      </c>
    </row>
    <row r="398" spans="2:6" s="8" customFormat="1" ht="24" customHeight="1">
      <c r="B398" s="9">
        <f t="shared" si="32"/>
        <v>46066</v>
      </c>
      <c r="C398" s="7" t="str">
        <f t="shared" si="31"/>
        <v>金</v>
      </c>
      <c r="D398" s="7" t="str">
        <f>IF(B398="","",IF(COUNTIF(休館日・祝日!$B:$B,$B398)&gt;=1,"休館日",IF(E398="利用申込のない夜間閉館","★18時閉館",IF(C398="日","17時閉館",IF(COUNTIF(休館日・祝日!$E:$E,$B398)&gt;=1,"17時閉館","21時閉館")))))</f>
        <v>21時閉館</v>
      </c>
      <c r="E398" s="10"/>
      <c r="F398" s="147" t="str">
        <f t="shared" si="30"/>
        <v/>
      </c>
    </row>
    <row r="399" spans="2:6" s="8" customFormat="1" ht="24" customHeight="1">
      <c r="B399" s="9">
        <f t="shared" si="32"/>
        <v>46067</v>
      </c>
      <c r="C399" s="7" t="str">
        <f t="shared" si="31"/>
        <v>土</v>
      </c>
      <c r="D399" s="7" t="str">
        <f>IF(B399="","",IF(COUNTIF(休館日・祝日!$B:$B,$B399)&gt;=1,"休館日",IF(E399="利用申込のない夜間閉館","★18時閉館",IF(C399="日","17時閉館",IF(COUNTIF(休館日・祝日!$E:$E,$B399)&gt;=1,"17時閉館","21時閉館")))))</f>
        <v>★18時閉館</v>
      </c>
      <c r="E399" s="10" t="s">
        <v>33</v>
      </c>
      <c r="F399" s="147" t="str">
        <f t="shared" si="30"/>
        <v/>
      </c>
    </row>
    <row r="400" spans="2:6" s="8" customFormat="1" ht="24" customHeight="1">
      <c r="B400" s="9">
        <f t="shared" si="32"/>
        <v>46068</v>
      </c>
      <c r="C400" s="7" t="str">
        <f t="shared" si="31"/>
        <v>日</v>
      </c>
      <c r="D400" s="7" t="str">
        <f>IF(B400="","",IF(COUNTIF(休館日・祝日!$B:$B,$B400)&gt;=1,"休館日",IF(E400="利用申込のない夜間閉館","★18時閉館",IF(C400="日","17時閉館",IF(COUNTIF(休館日・祝日!$E:$E,$B400)&gt;=1,"17時閉館","21時閉館")))))</f>
        <v>17時閉館</v>
      </c>
      <c r="E400" s="10"/>
      <c r="F400" s="147" t="str">
        <f t="shared" si="30"/>
        <v>夜間閉館ではなく17時閉館</v>
      </c>
    </row>
    <row r="401" spans="2:6" s="8" customFormat="1" ht="24" customHeight="1">
      <c r="B401" s="9">
        <f t="shared" si="32"/>
        <v>46069</v>
      </c>
      <c r="C401" s="7" t="str">
        <f t="shared" si="31"/>
        <v>月</v>
      </c>
      <c r="D401" s="7" t="str">
        <f>IF(B401="","",IF(COUNTIF(休館日・祝日!$B:$B,$B401)&gt;=1,"休館日",IF(E401="利用申込のない夜間閉館","★18時閉館",IF(C401="日","17時閉館",IF(COUNTIF(休館日・祝日!$E:$E,$B401)&gt;=1,"17時閉館","21時閉館")))))</f>
        <v>休館日</v>
      </c>
      <c r="E401" s="10"/>
      <c r="F401" s="147" t="str">
        <f t="shared" si="30"/>
        <v/>
      </c>
    </row>
    <row r="402" spans="2:6" s="8" customFormat="1" ht="24" customHeight="1">
      <c r="B402" s="9">
        <f t="shared" si="32"/>
        <v>46070</v>
      </c>
      <c r="C402" s="7" t="str">
        <f t="shared" si="31"/>
        <v>火</v>
      </c>
      <c r="D402" s="7" t="str">
        <f>IF(B402="","",IF(COUNTIF(休館日・祝日!$B:$B,$B402)&gt;=1,"休館日",IF(E402="利用申込のない夜間閉館","★18時閉館",IF(C402="日","17時閉館",IF(COUNTIF(休館日・祝日!$E:$E,$B402)&gt;=1,"17時閉館","21時閉館")))))</f>
        <v>★18時閉館</v>
      </c>
      <c r="E402" s="10" t="s">
        <v>33</v>
      </c>
      <c r="F402" s="147" t="str">
        <f t="shared" si="30"/>
        <v/>
      </c>
    </row>
    <row r="403" spans="2:6" s="8" customFormat="1" ht="24" customHeight="1">
      <c r="B403" s="9">
        <f t="shared" si="32"/>
        <v>46071</v>
      </c>
      <c r="C403" s="7" t="str">
        <f t="shared" si="31"/>
        <v>水</v>
      </c>
      <c r="D403" s="7" t="str">
        <f>IF(B403="","",IF(COUNTIF(休館日・祝日!$B:$B,$B403)&gt;=1,"休館日",IF(E403="利用申込のない夜間閉館","★18時閉館",IF(C403="日","17時閉館",IF(COUNTIF(休館日・祝日!$E:$E,$B403)&gt;=1,"17時閉館","21時閉館")))))</f>
        <v>21時閉館</v>
      </c>
      <c r="E403" s="10"/>
      <c r="F403" s="147" t="str">
        <f t="shared" si="30"/>
        <v/>
      </c>
    </row>
    <row r="404" spans="2:6" s="8" customFormat="1" ht="24" customHeight="1">
      <c r="B404" s="9">
        <f t="shared" si="32"/>
        <v>46072</v>
      </c>
      <c r="C404" s="7" t="str">
        <f t="shared" si="31"/>
        <v>木</v>
      </c>
      <c r="D404" s="7" t="str">
        <f>IF(B404="","",IF(COUNTIF(休館日・祝日!$B:$B,$B404)&gt;=1,"休館日",IF(E404="利用申込のない夜間閉館","★18時閉館",IF(C404="日","17時閉館",IF(COUNTIF(休館日・祝日!$E:$E,$B404)&gt;=1,"17時閉館","21時閉館")))))</f>
        <v>21時閉館</v>
      </c>
      <c r="E404" s="10"/>
      <c r="F404" s="147" t="str">
        <f t="shared" si="30"/>
        <v/>
      </c>
    </row>
    <row r="405" spans="2:6" s="8" customFormat="1" ht="24" customHeight="1">
      <c r="B405" s="9">
        <f t="shared" si="32"/>
        <v>46073</v>
      </c>
      <c r="C405" s="7" t="str">
        <f t="shared" si="31"/>
        <v>金</v>
      </c>
      <c r="D405" s="7" t="str">
        <f>IF(B405="","",IF(COUNTIF(休館日・祝日!$B:$B,$B405)&gt;=1,"休館日",IF(E405="利用申込のない夜間閉館","★18時閉館",IF(C405="日","17時閉館",IF(COUNTIF(休館日・祝日!$E:$E,$B405)&gt;=1,"17時閉館","21時閉館")))))</f>
        <v>21時閉館</v>
      </c>
      <c r="E405" s="10"/>
      <c r="F405" s="147" t="str">
        <f t="shared" si="30"/>
        <v/>
      </c>
    </row>
    <row r="406" spans="2:6" s="8" customFormat="1" ht="24" customHeight="1">
      <c r="B406" s="9">
        <f t="shared" si="32"/>
        <v>46074</v>
      </c>
      <c r="C406" s="7" t="str">
        <f t="shared" si="31"/>
        <v>土</v>
      </c>
      <c r="D406" s="7" t="str">
        <f>IF(B406="","",IF(COUNTIF(休館日・祝日!$B:$B,$B406)&gt;=1,"休館日",IF(E406="利用申込のない夜間閉館","★18時閉館",IF(C406="日","17時閉館",IF(COUNTIF(休館日・祝日!$E:$E,$B406)&gt;=1,"17時閉館","21時閉館")))))</f>
        <v>21時閉館</v>
      </c>
      <c r="E406" s="10"/>
      <c r="F406" s="147" t="str">
        <f t="shared" si="30"/>
        <v/>
      </c>
    </row>
    <row r="407" spans="2:6" s="8" customFormat="1" ht="24" customHeight="1">
      <c r="B407" s="9">
        <f t="shared" si="32"/>
        <v>46075</v>
      </c>
      <c r="C407" s="7" t="str">
        <f t="shared" si="31"/>
        <v>日</v>
      </c>
      <c r="D407" s="7" t="str">
        <f>IF(B407="","",IF(COUNTIF(休館日・祝日!$B:$B,$B407)&gt;=1,"休館日",IF(E407="利用申込のない夜間閉館","★18時閉館",IF(C407="日","17時閉館",IF(COUNTIF(休館日・祝日!$E:$E,$B407)&gt;=1,"17時閉館","21時閉館")))))</f>
        <v>17時閉館</v>
      </c>
      <c r="E407" s="10"/>
      <c r="F407" s="147" t="str">
        <f t="shared" si="30"/>
        <v>夜間閉館ではなく17時閉館</v>
      </c>
    </row>
    <row r="408" spans="2:6" s="8" customFormat="1" ht="24" customHeight="1">
      <c r="B408" s="9">
        <f t="shared" si="32"/>
        <v>46076</v>
      </c>
      <c r="C408" s="7" t="str">
        <f t="shared" si="31"/>
        <v>月</v>
      </c>
      <c r="D408" s="7" t="str">
        <f>IF(B408="","",IF(COUNTIF(休館日・祝日!$B:$B,$B408)&gt;=1,"休館日",IF(E408="利用申込のない夜間閉館","★18時閉館",IF(C408="日","17時閉館",IF(COUNTIF(休館日・祝日!$E:$E,$B408)&gt;=1,"17時閉館","21時閉館")))))</f>
        <v>17時閉館</v>
      </c>
      <c r="E408" s="10"/>
      <c r="F408" s="147" t="str">
        <f t="shared" si="30"/>
        <v>夜間閉館ではなく17時閉館</v>
      </c>
    </row>
    <row r="409" spans="2:6" s="8" customFormat="1" ht="24" customHeight="1">
      <c r="B409" s="9">
        <f t="shared" si="32"/>
        <v>46077</v>
      </c>
      <c r="C409" s="7" t="str">
        <f t="shared" si="31"/>
        <v>火</v>
      </c>
      <c r="D409" s="7" t="str">
        <f>IF(B409="","",IF(COUNTIF(休館日・祝日!$B:$B,$B409)&gt;=1,"休館日",IF(E409="利用申込のない夜間閉館","★18時閉館",IF(C409="日","17時閉館",IF(COUNTIF(休館日・祝日!$E:$E,$B409)&gt;=1,"17時閉館","21時閉館")))))</f>
        <v>21時閉館</v>
      </c>
      <c r="E409" s="10"/>
      <c r="F409" s="147" t="str">
        <f t="shared" si="30"/>
        <v/>
      </c>
    </row>
    <row r="410" spans="2:6" s="8" customFormat="1" ht="24" customHeight="1">
      <c r="B410" s="9">
        <f t="shared" si="32"/>
        <v>46078</v>
      </c>
      <c r="C410" s="7" t="str">
        <f t="shared" si="31"/>
        <v>水</v>
      </c>
      <c r="D410" s="7" t="str">
        <f>IF(B410="","",IF(COUNTIF(休館日・祝日!$B:$B,$B410)&gt;=1,"休館日",IF(E410="利用申込のない夜間閉館","★18時閉館",IF(C410="日","17時閉館",IF(COUNTIF(休館日・祝日!$E:$E,$B410)&gt;=1,"17時閉館","21時閉館")))))</f>
        <v>21時閉館</v>
      </c>
      <c r="E410" s="10"/>
      <c r="F410" s="147" t="str">
        <f t="shared" si="30"/>
        <v/>
      </c>
    </row>
    <row r="411" spans="2:6" s="8" customFormat="1" ht="24" customHeight="1">
      <c r="B411" s="9">
        <f t="shared" si="32"/>
        <v>46079</v>
      </c>
      <c r="C411" s="7" t="str">
        <f t="shared" si="31"/>
        <v>木</v>
      </c>
      <c r="D411" s="7" t="str">
        <f>IF(B411="","",IF(COUNTIF(休館日・祝日!$B:$B,$B411)&gt;=1,"休館日",IF(E411="利用申込のない夜間閉館","★18時閉館",IF(C411="日","17時閉館",IF(COUNTIF(休館日・祝日!$E:$E,$B411)&gt;=1,"17時閉館","21時閉館")))))</f>
        <v>21時閉館</v>
      </c>
      <c r="E411" s="10"/>
      <c r="F411" s="147" t="str">
        <f t="shared" si="30"/>
        <v/>
      </c>
    </row>
    <row r="412" spans="2:6" s="8" customFormat="1" ht="24" customHeight="1">
      <c r="B412" s="9">
        <f t="shared" si="32"/>
        <v>46080</v>
      </c>
      <c r="C412" s="7" t="str">
        <f t="shared" si="31"/>
        <v>金</v>
      </c>
      <c r="D412" s="7" t="str">
        <f>IF(B412="","",IF(COUNTIF(休館日・祝日!$B:$B,$B412)&gt;=1,"休館日",IF(E412="利用申込のない夜間閉館","★18時閉館",IF(C412="日","17時閉館",IF(COUNTIF(休館日・祝日!$E:$E,$B412)&gt;=1,"17時閉館","21時閉館")))))</f>
        <v>21時閉館</v>
      </c>
      <c r="E412" s="10"/>
      <c r="F412" s="147" t="str">
        <f t="shared" si="30"/>
        <v/>
      </c>
    </row>
    <row r="413" spans="2:6" s="8" customFormat="1" ht="24" customHeight="1">
      <c r="B413" s="9">
        <f t="shared" si="32"/>
        <v>46081</v>
      </c>
      <c r="C413" s="7" t="str">
        <f t="shared" si="31"/>
        <v>土</v>
      </c>
      <c r="D413" s="7" t="str">
        <f>IF(B413="","",IF(COUNTIF(休館日・祝日!$B:$B,$B413)&gt;=1,"休館日",IF(E413="利用申込のない夜間閉館","★18時閉館",IF(C413="日","17時閉館",IF(COUNTIF(休館日・祝日!$E:$E,$B413)&gt;=1,"17時閉館","21時閉館")))))</f>
        <v>★18時閉館</v>
      </c>
      <c r="E413" s="10" t="s">
        <v>33</v>
      </c>
      <c r="F413" s="147" t="str">
        <f t="shared" si="30"/>
        <v/>
      </c>
    </row>
    <row r="414" spans="2:6" s="8" customFormat="1" ht="24" customHeight="1">
      <c r="B414" s="9" t="str">
        <f t="shared" si="32"/>
        <v/>
      </c>
      <c r="C414" s="7" t="str">
        <f t="shared" si="31"/>
        <v/>
      </c>
      <c r="D414" s="7" t="str">
        <f>IF(B414="","",IF(COUNTIF(休館日・祝日!$B:$B,$B414)&gt;=1,"休館日",IF(E414="利用申込のない夜間閉館","★18時閉館",IF(C414="日","17時閉館",IF(COUNTIF(休館日・祝日!$E:$E,$B414)&gt;=1,"17時閉館","21時閉館")))))</f>
        <v/>
      </c>
      <c r="E414" s="10"/>
      <c r="F414" s="147" t="str">
        <f t="shared" si="30"/>
        <v/>
      </c>
    </row>
    <row r="415" spans="2:6" s="8" customFormat="1" ht="24" customHeight="1">
      <c r="B415" s="9" t="str">
        <f t="shared" si="32"/>
        <v/>
      </c>
      <c r="C415" s="7" t="str">
        <f t="shared" si="31"/>
        <v/>
      </c>
      <c r="D415" s="7" t="str">
        <f>IF(B415="","",IF(COUNTIF(休館日・祝日!$B:$B,$B415)&gt;=1,"休館日",IF(E415="利用申込のない夜間閉館","★18時閉館",IF(C415="日","17時閉館",IF(COUNTIF(休館日・祝日!$E:$E,$B415)&gt;=1,"17時閉館","21時閉館")))))</f>
        <v/>
      </c>
      <c r="E415" s="10"/>
      <c r="F415" s="147" t="str">
        <f t="shared" si="30"/>
        <v/>
      </c>
    </row>
    <row r="416" spans="2:6" s="8" customFormat="1" ht="24" customHeight="1">
      <c r="B416" s="9" t="str">
        <f t="shared" si="32"/>
        <v/>
      </c>
      <c r="C416" s="7" t="str">
        <f t="shared" si="31"/>
        <v/>
      </c>
      <c r="D416" s="7" t="str">
        <f>IF(B416="","",IF(COUNTIF(休館日・祝日!$B:$B,$B416)&gt;=1,"休館日",IF(E416="利用申込のない夜間閉館","★18時閉館",IF(C416="日","17時閉館",IF(COUNTIF(休館日・祝日!$E:$E,$B416)&gt;=1,"17時閉館","21時閉館")))))</f>
        <v/>
      </c>
      <c r="E416" s="10" t="str">
        <f>IF(B416="","",IF(OR(#REF!&lt;&gt;"",#REF!&lt;&gt;"",#REF!&lt;&gt;"",#REF!&lt;&gt;"",#REF!&lt;&gt;""),"開館",IF(C416="日","その他閉館",IF(COUNTIF(休館日・祝日!$B:$B,$B416)+COUNTIF(休館日・祝日!$E:$E,$B416)&gt;=1,"その他閉館","申込無し閉館"))))</f>
        <v/>
      </c>
      <c r="F416" s="147" t="str">
        <f t="shared" si="30"/>
        <v/>
      </c>
    </row>
    <row r="417" spans="2:10" ht="24" customHeight="1" thickBot="1"/>
    <row r="418" spans="2:10" ht="24" customHeight="1" thickBot="1">
      <c r="B418" s="72">
        <f>$B$1+1</f>
        <v>2026</v>
      </c>
      <c r="C418" s="4" t="s">
        <v>9</v>
      </c>
      <c r="F418" s="145" t="s">
        <v>0</v>
      </c>
      <c r="H418" s="21">
        <f>B419</f>
        <v>3</v>
      </c>
      <c r="I418" s="21" t="s">
        <v>28</v>
      </c>
    </row>
    <row r="419" spans="2:10" ht="24" customHeight="1" thickBot="1">
      <c r="B419" s="5">
        <v>3</v>
      </c>
      <c r="C419" s="4" t="s">
        <v>25</v>
      </c>
      <c r="H419" s="22" t="s">
        <v>33</v>
      </c>
      <c r="I419" s="22">
        <f>COUNTIF(E424:E454,H419)</f>
        <v>15</v>
      </c>
      <c r="J419" s="4" t="s">
        <v>51</v>
      </c>
    </row>
    <row r="420" spans="2:10" ht="26.25" customHeight="1">
      <c r="B420" s="6" t="s">
        <v>26</v>
      </c>
      <c r="F420" s="144"/>
    </row>
    <row r="421" spans="2:10" ht="26.25" customHeight="1">
      <c r="B421" s="4" t="s">
        <v>27</v>
      </c>
      <c r="F421" s="144"/>
    </row>
    <row r="422" spans="2:10" s="8" customFormat="1" ht="13.5">
      <c r="B422" s="4"/>
      <c r="C422" s="4"/>
      <c r="D422" s="4"/>
      <c r="E422" s="4"/>
      <c r="F422" s="144"/>
    </row>
    <row r="423" spans="2:10" s="8" customFormat="1" ht="30.75" customHeight="1">
      <c r="B423" s="151"/>
      <c r="C423" s="152"/>
      <c r="D423" s="60" t="s">
        <v>39</v>
      </c>
      <c r="E423" s="58" t="s">
        <v>38</v>
      </c>
      <c r="F423" s="146" t="s">
        <v>30</v>
      </c>
    </row>
    <row r="424" spans="2:10" s="8" customFormat="1" ht="24" customHeight="1">
      <c r="B424" s="9">
        <f>DATE(B418,B419,1)</f>
        <v>46082</v>
      </c>
      <c r="C424" s="7" t="str">
        <f>TEXT(B424,"aaa")</f>
        <v>日</v>
      </c>
      <c r="D424" s="7" t="str">
        <f>IF(B424="","",IF(COUNTIF(休館日・祝日!$B:$B,$B424)&gt;=1,"休館日",IF(E424="利用申込のない夜間閉館","★18時閉館",IF(C424="日","17時閉館",IF(COUNTIF(休館日・祝日!$E:$E,$B424)&gt;=1,"17時閉館","21時閉館")))))</f>
        <v>17時閉館</v>
      </c>
      <c r="E424" s="10"/>
      <c r="F424" s="147" t="str">
        <f t="shared" ref="F424:F454" si="33">IF(D424="17時閉館","夜間閉館ではなく17時閉館","")</f>
        <v>夜間閉館ではなく17時閉館</v>
      </c>
    </row>
    <row r="425" spans="2:10" s="8" customFormat="1" ht="24" customHeight="1">
      <c r="B425" s="9">
        <f>IF(B424="","",IF(MONTH(B424+1)=$B$419,B424+1,""))</f>
        <v>46083</v>
      </c>
      <c r="C425" s="7" t="str">
        <f t="shared" ref="C425:C454" si="34">TEXT(B425,"aaa")</f>
        <v>月</v>
      </c>
      <c r="D425" s="7" t="str">
        <f>IF(B425="","",IF(COUNTIF(休館日・祝日!$B:$B,$B425)&gt;=1,"休館日",IF(E425="利用申込のない夜間閉館","★18時閉館",IF(C425="日","17時閉館",IF(COUNTIF(休館日・祝日!$E:$E,$B425)&gt;=1,"17時閉館","21時閉館")))))</f>
        <v>★18時閉館</v>
      </c>
      <c r="E425" s="10" t="s">
        <v>33</v>
      </c>
      <c r="F425" s="147" t="str">
        <f t="shared" si="33"/>
        <v/>
      </c>
    </row>
    <row r="426" spans="2:10" s="8" customFormat="1" ht="24" customHeight="1">
      <c r="B426" s="9">
        <f t="shared" ref="B426:B454" si="35">IF(B425="","",IF(MONTH(B425+1)=$B$419,B425+1,""))</f>
        <v>46084</v>
      </c>
      <c r="C426" s="7" t="str">
        <f t="shared" si="34"/>
        <v>火</v>
      </c>
      <c r="D426" s="7" t="str">
        <f>IF(B426="","",IF(COUNTIF(休館日・祝日!$B:$B,$B426)&gt;=1,"休館日",IF(E426="利用申込のない夜間閉館","★18時閉館",IF(C426="日","17時閉館",IF(COUNTIF(休館日・祝日!$E:$E,$B426)&gt;=1,"17時閉館","21時閉館")))))</f>
        <v>★18時閉館</v>
      </c>
      <c r="E426" s="10" t="s">
        <v>33</v>
      </c>
      <c r="F426" s="147" t="str">
        <f t="shared" si="33"/>
        <v/>
      </c>
    </row>
    <row r="427" spans="2:10" s="8" customFormat="1" ht="24" customHeight="1">
      <c r="B427" s="9">
        <f t="shared" si="35"/>
        <v>46085</v>
      </c>
      <c r="C427" s="7" t="str">
        <f t="shared" si="34"/>
        <v>水</v>
      </c>
      <c r="D427" s="7" t="str">
        <f>IF(B427="","",IF(COUNTIF(休館日・祝日!$B:$B,$B427)&gt;=1,"休館日",IF(E427="利用申込のない夜間閉館","★18時閉館",IF(C427="日","17時閉館",IF(COUNTIF(休館日・祝日!$E:$E,$B427)&gt;=1,"17時閉館","21時閉館")))))</f>
        <v>21時閉館</v>
      </c>
      <c r="E427" s="10"/>
      <c r="F427" s="147" t="str">
        <f t="shared" si="33"/>
        <v/>
      </c>
    </row>
    <row r="428" spans="2:10" s="8" customFormat="1" ht="24" customHeight="1">
      <c r="B428" s="9">
        <f t="shared" si="35"/>
        <v>46086</v>
      </c>
      <c r="C428" s="7" t="str">
        <f t="shared" si="34"/>
        <v>木</v>
      </c>
      <c r="D428" s="7" t="str">
        <f>IF(B428="","",IF(COUNTIF(休館日・祝日!$B:$B,$B428)&gt;=1,"休館日",IF(E428="利用申込のない夜間閉館","★18時閉館",IF(C428="日","17時閉館",IF(COUNTIF(休館日・祝日!$E:$E,$B428)&gt;=1,"17時閉館","21時閉館")))))</f>
        <v>★18時閉館</v>
      </c>
      <c r="E428" s="10" t="s">
        <v>33</v>
      </c>
      <c r="F428" s="147" t="str">
        <f t="shared" si="33"/>
        <v/>
      </c>
    </row>
    <row r="429" spans="2:10" s="8" customFormat="1" ht="24" customHeight="1">
      <c r="B429" s="9">
        <f t="shared" si="35"/>
        <v>46087</v>
      </c>
      <c r="C429" s="7" t="str">
        <f t="shared" si="34"/>
        <v>金</v>
      </c>
      <c r="D429" s="7" t="str">
        <f>IF(B429="","",IF(COUNTIF(休館日・祝日!$B:$B,$B429)&gt;=1,"休館日",IF(E429="利用申込のない夜間閉館","★18時閉館",IF(C429="日","17時閉館",IF(COUNTIF(休館日・祝日!$E:$E,$B429)&gt;=1,"17時閉館","21時閉館")))))</f>
        <v>21時閉館</v>
      </c>
      <c r="E429" s="10"/>
      <c r="F429" s="147" t="str">
        <f t="shared" si="33"/>
        <v/>
      </c>
    </row>
    <row r="430" spans="2:10" s="8" customFormat="1" ht="24" customHeight="1">
      <c r="B430" s="9">
        <f t="shared" si="35"/>
        <v>46088</v>
      </c>
      <c r="C430" s="7" t="str">
        <f t="shared" si="34"/>
        <v>土</v>
      </c>
      <c r="D430" s="7" t="str">
        <f>IF(B430="","",IF(COUNTIF(休館日・祝日!$B:$B,$B430)&gt;=1,"休館日",IF(E430="利用申込のない夜間閉館","★18時閉館",IF(C430="日","17時閉館",IF(COUNTIF(休館日・祝日!$E:$E,$B430)&gt;=1,"17時閉館","21時閉館")))))</f>
        <v>★18時閉館</v>
      </c>
      <c r="E430" s="10" t="s">
        <v>33</v>
      </c>
      <c r="F430" s="147" t="str">
        <f t="shared" si="33"/>
        <v/>
      </c>
    </row>
    <row r="431" spans="2:10" s="8" customFormat="1" ht="24" customHeight="1">
      <c r="B431" s="9">
        <f t="shared" si="35"/>
        <v>46089</v>
      </c>
      <c r="C431" s="7" t="str">
        <f t="shared" si="34"/>
        <v>日</v>
      </c>
      <c r="D431" s="7" t="str">
        <f>IF(B431="","",IF(COUNTIF(休館日・祝日!$B:$B,$B431)&gt;=1,"休館日",IF(E431="利用申込のない夜間閉館","★18時閉館",IF(C431="日","17時閉館",IF(COUNTIF(休館日・祝日!$E:$E,$B431)&gt;=1,"17時閉館","21時閉館")))))</f>
        <v>17時閉館</v>
      </c>
      <c r="E431" s="10"/>
      <c r="F431" s="147" t="str">
        <f t="shared" si="33"/>
        <v>夜間閉館ではなく17時閉館</v>
      </c>
    </row>
    <row r="432" spans="2:10" s="8" customFormat="1" ht="24" customHeight="1">
      <c r="B432" s="9">
        <f t="shared" si="35"/>
        <v>46090</v>
      </c>
      <c r="C432" s="7" t="str">
        <f t="shared" si="34"/>
        <v>月</v>
      </c>
      <c r="D432" s="7" t="str">
        <f>IF(B432="","",IF(COUNTIF(休館日・祝日!$B:$B,$B432)&gt;=1,"休館日",IF(E432="利用申込のない夜間閉館","★18時閉館",IF(C432="日","17時閉館",IF(COUNTIF(休館日・祝日!$E:$E,$B432)&gt;=1,"17時閉館","21時閉館")))))</f>
        <v>★18時閉館</v>
      </c>
      <c r="E432" s="10" t="s">
        <v>33</v>
      </c>
      <c r="F432" s="147" t="str">
        <f t="shared" si="33"/>
        <v/>
      </c>
    </row>
    <row r="433" spans="2:6" s="8" customFormat="1" ht="24" customHeight="1">
      <c r="B433" s="9">
        <f t="shared" si="35"/>
        <v>46091</v>
      </c>
      <c r="C433" s="7" t="str">
        <f t="shared" si="34"/>
        <v>火</v>
      </c>
      <c r="D433" s="7" t="str">
        <f>IF(B433="","",IF(COUNTIF(休館日・祝日!$B:$B,$B433)&gt;=1,"休館日",IF(E433="利用申込のない夜間閉館","★18時閉館",IF(C433="日","17時閉館",IF(COUNTIF(休館日・祝日!$E:$E,$B433)&gt;=1,"17時閉館","21時閉館")))))</f>
        <v>★18時閉館</v>
      </c>
      <c r="E433" s="10" t="s">
        <v>33</v>
      </c>
      <c r="F433" s="147" t="str">
        <f t="shared" si="33"/>
        <v/>
      </c>
    </row>
    <row r="434" spans="2:6" s="8" customFormat="1" ht="24" customHeight="1">
      <c r="B434" s="9">
        <f t="shared" si="35"/>
        <v>46092</v>
      </c>
      <c r="C434" s="7" t="str">
        <f t="shared" si="34"/>
        <v>水</v>
      </c>
      <c r="D434" s="7" t="str">
        <f>IF(B434="","",IF(COUNTIF(休館日・祝日!$B:$B,$B434)&gt;=1,"休館日",IF(E434="利用申込のない夜間閉館","★18時閉館",IF(C434="日","17時閉館",IF(COUNTIF(休館日・祝日!$E:$E,$B434)&gt;=1,"17時閉館","21時閉館")))))</f>
        <v>21時閉館</v>
      </c>
      <c r="E434" s="10"/>
      <c r="F434" s="147" t="str">
        <f t="shared" si="33"/>
        <v/>
      </c>
    </row>
    <row r="435" spans="2:6" s="8" customFormat="1" ht="24" customHeight="1">
      <c r="B435" s="9">
        <f t="shared" si="35"/>
        <v>46093</v>
      </c>
      <c r="C435" s="7" t="str">
        <f t="shared" si="34"/>
        <v>木</v>
      </c>
      <c r="D435" s="7" t="str">
        <f>IF(B435="","",IF(COUNTIF(休館日・祝日!$B:$B,$B435)&gt;=1,"休館日",IF(E435="利用申込のない夜間閉館","★18時閉館",IF(C435="日","17時閉館",IF(COUNTIF(休館日・祝日!$E:$E,$B435)&gt;=1,"17時閉館","21時閉館")))))</f>
        <v>21時閉館</v>
      </c>
      <c r="E435" s="10"/>
      <c r="F435" s="147" t="str">
        <f t="shared" si="33"/>
        <v/>
      </c>
    </row>
    <row r="436" spans="2:6" s="8" customFormat="1" ht="24" customHeight="1">
      <c r="B436" s="9">
        <f t="shared" si="35"/>
        <v>46094</v>
      </c>
      <c r="C436" s="7" t="str">
        <f t="shared" si="34"/>
        <v>金</v>
      </c>
      <c r="D436" s="7" t="str">
        <f>IF(B436="","",IF(COUNTIF(休館日・祝日!$B:$B,$B436)&gt;=1,"休館日",IF(E436="利用申込のない夜間閉館","★18時閉館",IF(C436="日","17時閉館",IF(COUNTIF(休館日・祝日!$E:$E,$B436)&gt;=1,"17時閉館","21時閉館")))))</f>
        <v>21時閉館</v>
      </c>
      <c r="E436" s="10"/>
      <c r="F436" s="147" t="str">
        <f t="shared" si="33"/>
        <v/>
      </c>
    </row>
    <row r="437" spans="2:6" s="8" customFormat="1" ht="24" customHeight="1">
      <c r="B437" s="9">
        <f t="shared" si="35"/>
        <v>46095</v>
      </c>
      <c r="C437" s="7" t="str">
        <f t="shared" si="34"/>
        <v>土</v>
      </c>
      <c r="D437" s="7" t="str">
        <f>IF(B437="","",IF(COUNTIF(休館日・祝日!$B:$B,$B437)&gt;=1,"休館日",IF(E437="利用申込のない夜間閉館","★18時閉館",IF(C437="日","17時閉館",IF(COUNTIF(休館日・祝日!$E:$E,$B437)&gt;=1,"17時閉館","21時閉館")))))</f>
        <v>★18時閉館</v>
      </c>
      <c r="E437" s="10" t="s">
        <v>33</v>
      </c>
      <c r="F437" s="147" t="str">
        <f t="shared" si="33"/>
        <v/>
      </c>
    </row>
    <row r="438" spans="2:6" s="8" customFormat="1" ht="24" customHeight="1">
      <c r="B438" s="9">
        <f t="shared" si="35"/>
        <v>46096</v>
      </c>
      <c r="C438" s="7" t="str">
        <f t="shared" si="34"/>
        <v>日</v>
      </c>
      <c r="D438" s="7" t="str">
        <f>IF(B438="","",IF(COUNTIF(休館日・祝日!$B:$B,$B438)&gt;=1,"休館日",IF(E438="利用申込のない夜間閉館","★18時閉館",IF(C438="日","17時閉館",IF(COUNTIF(休館日・祝日!$E:$E,$B438)&gt;=1,"17時閉館","21時閉館")))))</f>
        <v>17時閉館</v>
      </c>
      <c r="E438" s="10"/>
      <c r="F438" s="147" t="str">
        <f t="shared" si="33"/>
        <v>夜間閉館ではなく17時閉館</v>
      </c>
    </row>
    <row r="439" spans="2:6" s="8" customFormat="1" ht="24" customHeight="1">
      <c r="B439" s="9">
        <f t="shared" si="35"/>
        <v>46097</v>
      </c>
      <c r="C439" s="7" t="str">
        <f t="shared" si="34"/>
        <v>月</v>
      </c>
      <c r="D439" s="7" t="str">
        <f>IF(B439="","",IF(COUNTIF(休館日・祝日!$B:$B,$B439)&gt;=1,"休館日",IF(E439="利用申込のない夜間閉館","★18時閉館",IF(C439="日","17時閉館",IF(COUNTIF(休館日・祝日!$E:$E,$B439)&gt;=1,"17時閉館","21時閉館")))))</f>
        <v>休館日</v>
      </c>
      <c r="E439" s="10"/>
      <c r="F439" s="147" t="str">
        <f t="shared" si="33"/>
        <v/>
      </c>
    </row>
    <row r="440" spans="2:6" s="8" customFormat="1" ht="24" customHeight="1">
      <c r="B440" s="9">
        <f t="shared" si="35"/>
        <v>46098</v>
      </c>
      <c r="C440" s="7" t="str">
        <f t="shared" si="34"/>
        <v>火</v>
      </c>
      <c r="D440" s="7" t="str">
        <f>IF(B440="","",IF(COUNTIF(休館日・祝日!$B:$B,$B440)&gt;=1,"休館日",IF(E440="利用申込のない夜間閉館","★18時閉館",IF(C440="日","17時閉館",IF(COUNTIF(休館日・祝日!$E:$E,$B440)&gt;=1,"17時閉館","21時閉館")))))</f>
        <v>★18時閉館</v>
      </c>
      <c r="E440" s="10" t="s">
        <v>33</v>
      </c>
      <c r="F440" s="147" t="str">
        <f t="shared" si="33"/>
        <v/>
      </c>
    </row>
    <row r="441" spans="2:6" s="8" customFormat="1" ht="24" customHeight="1">
      <c r="B441" s="9">
        <f t="shared" si="35"/>
        <v>46099</v>
      </c>
      <c r="C441" s="7" t="str">
        <f t="shared" si="34"/>
        <v>水</v>
      </c>
      <c r="D441" s="7" t="str">
        <f>IF(B441="","",IF(COUNTIF(休館日・祝日!$B:$B,$B441)&gt;=1,"休館日",IF(E441="利用申込のない夜間閉館","★18時閉館",IF(C441="日","17時閉館",IF(COUNTIF(休館日・祝日!$E:$E,$B441)&gt;=1,"17時閉館","21時閉館")))))</f>
        <v>21時閉館</v>
      </c>
      <c r="E441" s="10"/>
      <c r="F441" s="147" t="str">
        <f t="shared" si="33"/>
        <v/>
      </c>
    </row>
    <row r="442" spans="2:6" s="8" customFormat="1" ht="24" customHeight="1">
      <c r="B442" s="9">
        <f t="shared" si="35"/>
        <v>46100</v>
      </c>
      <c r="C442" s="7" t="str">
        <f t="shared" si="34"/>
        <v>木</v>
      </c>
      <c r="D442" s="7" t="str">
        <f>IF(B442="","",IF(COUNTIF(休館日・祝日!$B:$B,$B442)&gt;=1,"休館日",IF(E442="利用申込のない夜間閉館","★18時閉館",IF(C442="日","17時閉館",IF(COUNTIF(休館日・祝日!$E:$E,$B442)&gt;=1,"17時閉館","21時閉館")))))</f>
        <v>21時閉館</v>
      </c>
      <c r="E442" s="10"/>
      <c r="F442" s="147" t="str">
        <f t="shared" si="33"/>
        <v/>
      </c>
    </row>
    <row r="443" spans="2:6" s="8" customFormat="1" ht="24" customHeight="1">
      <c r="B443" s="9">
        <f t="shared" si="35"/>
        <v>46101</v>
      </c>
      <c r="C443" s="7" t="str">
        <f t="shared" si="34"/>
        <v>金</v>
      </c>
      <c r="D443" s="7" t="str">
        <f>IF(B443="","",IF(COUNTIF(休館日・祝日!$B:$B,$B443)&gt;=1,"休館日",IF(E443="利用申込のない夜間閉館","★18時閉館",IF(C443="日","17時閉館",IF(COUNTIF(休館日・祝日!$E:$E,$B443)&gt;=1,"17時閉館","21時閉館")))))</f>
        <v>17時閉館</v>
      </c>
      <c r="E443" s="10"/>
      <c r="F443" s="147" t="str">
        <f t="shared" si="33"/>
        <v>夜間閉館ではなく17時閉館</v>
      </c>
    </row>
    <row r="444" spans="2:6" s="8" customFormat="1" ht="24" customHeight="1">
      <c r="B444" s="9">
        <f t="shared" si="35"/>
        <v>46102</v>
      </c>
      <c r="C444" s="7" t="str">
        <f t="shared" si="34"/>
        <v>土</v>
      </c>
      <c r="D444" s="7" t="str">
        <f>IF(B444="","",IF(COUNTIF(休館日・祝日!$B:$B,$B444)&gt;=1,"休館日",IF(E444="利用申込のない夜間閉館","★18時閉館",IF(C444="日","17時閉館",IF(COUNTIF(休館日・祝日!$E:$E,$B444)&gt;=1,"17時閉館","21時閉館")))))</f>
        <v>21時閉館</v>
      </c>
      <c r="E444" s="10"/>
      <c r="F444" s="147" t="str">
        <f t="shared" si="33"/>
        <v/>
      </c>
    </row>
    <row r="445" spans="2:6" s="8" customFormat="1" ht="24" customHeight="1">
      <c r="B445" s="9">
        <f t="shared" si="35"/>
        <v>46103</v>
      </c>
      <c r="C445" s="7" t="str">
        <f t="shared" si="34"/>
        <v>日</v>
      </c>
      <c r="D445" s="7" t="str">
        <f>IF(B445="","",IF(COUNTIF(休館日・祝日!$B:$B,$B445)&gt;=1,"休館日",IF(E445="利用申込のない夜間閉館","★18時閉館",IF(C445="日","17時閉館",IF(COUNTIF(休館日・祝日!$E:$E,$B445)&gt;=1,"17時閉館","21時閉館")))))</f>
        <v>17時閉館</v>
      </c>
      <c r="E445" s="10"/>
      <c r="F445" s="147" t="str">
        <f t="shared" si="33"/>
        <v>夜間閉館ではなく17時閉館</v>
      </c>
    </row>
    <row r="446" spans="2:6" s="8" customFormat="1" ht="24" customHeight="1">
      <c r="B446" s="9">
        <f t="shared" si="35"/>
        <v>46104</v>
      </c>
      <c r="C446" s="7" t="str">
        <f t="shared" si="34"/>
        <v>月</v>
      </c>
      <c r="D446" s="7" t="str">
        <f>IF(B446="","",IF(COUNTIF(休館日・祝日!$B:$B,$B446)&gt;=1,"休館日",IF(E446="利用申込のない夜間閉館","★18時閉館",IF(C446="日","17時閉館",IF(COUNTIF(休館日・祝日!$E:$E,$B446)&gt;=1,"17時閉館","21時閉館")))))</f>
        <v>★18時閉館</v>
      </c>
      <c r="E446" s="10" t="s">
        <v>33</v>
      </c>
      <c r="F446" s="147" t="str">
        <f t="shared" si="33"/>
        <v/>
      </c>
    </row>
    <row r="447" spans="2:6" s="8" customFormat="1" ht="24" customHeight="1">
      <c r="B447" s="9">
        <f t="shared" si="35"/>
        <v>46105</v>
      </c>
      <c r="C447" s="7" t="str">
        <f t="shared" si="34"/>
        <v>火</v>
      </c>
      <c r="D447" s="7" t="str">
        <f>IF(B447="","",IF(COUNTIF(休館日・祝日!$B:$B,$B447)&gt;=1,"休館日",IF(E447="利用申込のない夜間閉館","★18時閉館",IF(C447="日","17時閉館",IF(COUNTIF(休館日・祝日!$E:$E,$B447)&gt;=1,"17時閉館","21時閉館")))))</f>
        <v>★18時閉館</v>
      </c>
      <c r="E447" s="10" t="s">
        <v>33</v>
      </c>
      <c r="F447" s="147" t="str">
        <f t="shared" si="33"/>
        <v/>
      </c>
    </row>
    <row r="448" spans="2:6" s="8" customFormat="1" ht="24" customHeight="1">
      <c r="B448" s="9">
        <f t="shared" si="35"/>
        <v>46106</v>
      </c>
      <c r="C448" s="7" t="str">
        <f t="shared" si="34"/>
        <v>水</v>
      </c>
      <c r="D448" s="7" t="str">
        <f>IF(B448="","",IF(COUNTIF(休館日・祝日!$B:$B,$B448)&gt;=1,"休館日",IF(E448="利用申込のない夜間閉館","★18時閉館",IF(C448="日","17時閉館",IF(COUNTIF(休館日・祝日!$E:$E,$B448)&gt;=1,"17時閉館","21時閉館")))))</f>
        <v>21時閉館</v>
      </c>
      <c r="E448" s="10"/>
      <c r="F448" s="147" t="str">
        <f t="shared" si="33"/>
        <v/>
      </c>
    </row>
    <row r="449" spans="2:10" s="8" customFormat="1" ht="24" customHeight="1">
      <c r="B449" s="9">
        <f t="shared" si="35"/>
        <v>46107</v>
      </c>
      <c r="C449" s="7" t="str">
        <f t="shared" si="34"/>
        <v>木</v>
      </c>
      <c r="D449" s="7" t="str">
        <f>IF(B449="","",IF(COUNTIF(休館日・祝日!$B:$B,$B449)&gt;=1,"休館日",IF(E449="利用申込のない夜間閉館","★18時閉館",IF(C449="日","17時閉館",IF(COUNTIF(休館日・祝日!$E:$E,$B449)&gt;=1,"17時閉館","21時閉館")))))</f>
        <v>★18時閉館</v>
      </c>
      <c r="E449" s="10" t="s">
        <v>33</v>
      </c>
      <c r="F449" s="147" t="str">
        <f t="shared" si="33"/>
        <v/>
      </c>
    </row>
    <row r="450" spans="2:10" s="8" customFormat="1" ht="24" customHeight="1">
      <c r="B450" s="9">
        <f t="shared" si="35"/>
        <v>46108</v>
      </c>
      <c r="C450" s="7" t="str">
        <f t="shared" si="34"/>
        <v>金</v>
      </c>
      <c r="D450" s="7" t="str">
        <f>IF(B450="","",IF(COUNTIF(休館日・祝日!$B:$B,$B450)&gt;=1,"休館日",IF(E450="利用申込のない夜間閉館","★18時閉館",IF(C450="日","17時閉館",IF(COUNTIF(休館日・祝日!$E:$E,$B450)&gt;=1,"17時閉館","21時閉館")))))</f>
        <v>★18時閉館</v>
      </c>
      <c r="E450" s="10" t="s">
        <v>33</v>
      </c>
      <c r="F450" s="147" t="str">
        <f t="shared" si="33"/>
        <v/>
      </c>
    </row>
    <row r="451" spans="2:10" s="8" customFormat="1" ht="24" customHeight="1">
      <c r="B451" s="9">
        <f t="shared" si="35"/>
        <v>46109</v>
      </c>
      <c r="C451" s="7" t="str">
        <f t="shared" si="34"/>
        <v>土</v>
      </c>
      <c r="D451" s="7" t="str">
        <f>IF(B451="","",IF(COUNTIF(休館日・祝日!$B:$B,$B451)&gt;=1,"休館日",IF(E451="利用申込のない夜間閉館","★18時閉館",IF(C451="日","17時閉館",IF(COUNTIF(休館日・祝日!$E:$E,$B451)&gt;=1,"17時閉館","21時閉館")))))</f>
        <v>★18時閉館</v>
      </c>
      <c r="E451" s="10" t="s">
        <v>33</v>
      </c>
      <c r="F451" s="147" t="str">
        <f t="shared" si="33"/>
        <v/>
      </c>
    </row>
    <row r="452" spans="2:10" s="8" customFormat="1" ht="24" customHeight="1">
      <c r="B452" s="9">
        <f t="shared" si="35"/>
        <v>46110</v>
      </c>
      <c r="C452" s="7" t="str">
        <f t="shared" si="34"/>
        <v>日</v>
      </c>
      <c r="D452" s="7" t="str">
        <f>IF(B452="","",IF(COUNTIF(休館日・祝日!$B:$B,$B452)&gt;=1,"休館日",IF(E452="利用申込のない夜間閉館","★18時閉館",IF(C452="日","17時閉館",IF(COUNTIF(休館日・祝日!$E:$E,$B452)&gt;=1,"17時閉館","21時閉館")))))</f>
        <v>17時閉館</v>
      </c>
      <c r="E452" s="10"/>
      <c r="F452" s="147" t="str">
        <f t="shared" si="33"/>
        <v>夜間閉館ではなく17時閉館</v>
      </c>
    </row>
    <row r="453" spans="2:10" s="8" customFormat="1" ht="24" customHeight="1">
      <c r="B453" s="9">
        <f t="shared" si="35"/>
        <v>46111</v>
      </c>
      <c r="C453" s="7" t="str">
        <f t="shared" si="34"/>
        <v>月</v>
      </c>
      <c r="D453" s="7" t="str">
        <f>IF(B453="","",IF(COUNTIF(休館日・祝日!$B:$B,$B453)&gt;=1,"休館日",IF(E453="利用申込のない夜間閉館","★18時閉館",IF(C453="日","17時閉館",IF(COUNTIF(休館日・祝日!$E:$E,$B453)&gt;=1,"17時閉館","21時閉館")))))</f>
        <v>★18時閉館</v>
      </c>
      <c r="E453" s="10" t="s">
        <v>33</v>
      </c>
      <c r="F453" s="147" t="str">
        <f t="shared" si="33"/>
        <v/>
      </c>
    </row>
    <row r="454" spans="2:10" ht="24" customHeight="1">
      <c r="B454" s="9">
        <f t="shared" si="35"/>
        <v>46112</v>
      </c>
      <c r="C454" s="7" t="str">
        <f t="shared" si="34"/>
        <v>火</v>
      </c>
      <c r="D454" s="7" t="str">
        <f>IF(B454="","",IF(COUNTIF(休館日・祝日!$B:$B,$B454)&gt;=1,"休館日",IF(E454="利用申込のない夜間閉館","★18時閉館",IF(C454="日","17時閉館",IF(COUNTIF(休館日・祝日!$E:$E,$B454)&gt;=1,"17時閉館","21時閉館")))))</f>
        <v>★18時閉館</v>
      </c>
      <c r="E454" s="10" t="s">
        <v>33</v>
      </c>
      <c r="F454" s="147" t="str">
        <f t="shared" si="33"/>
        <v/>
      </c>
    </row>
    <row r="456" spans="2:10" ht="24" customHeight="1">
      <c r="H456" s="8"/>
      <c r="I456" s="8" t="s">
        <v>54</v>
      </c>
    </row>
    <row r="457" spans="2:10" ht="24" customHeight="1">
      <c r="H457" s="22" t="s">
        <v>33</v>
      </c>
      <c r="I457" s="22">
        <f>SUM(I2,I39,I77,I115,I153,I191,I229,I267,I305,I343,I381,I419)</f>
        <v>120</v>
      </c>
      <c r="J457" s="4" t="s">
        <v>51</v>
      </c>
    </row>
    <row r="459" spans="2:10" ht="24" customHeight="1">
      <c r="H459" s="22" t="s">
        <v>52</v>
      </c>
      <c r="I459" s="65">
        <f>I457*3000</f>
        <v>360000</v>
      </c>
      <c r="J459" s="4" t="s">
        <v>53</v>
      </c>
    </row>
  </sheetData>
  <sheetProtection algorithmName="SHA-512" hashValue="8nnMWWW1XyMsxa2n1c91zSmMMcJbkqWd7zDhk7hhUIaIHHxRUGEnQV9HyP/1ohDKgH8hIvZYSTiC7DMxHLtMHw==" saltValue="n6wOhWAMEYlH+uxPTJowGA==" spinCount="100000" sheet="1" formatCells="0" formatColumns="0" formatRows="0"/>
  <autoFilter ref="B1:J1" xr:uid="{00000000-0009-0000-0000-000002000000}"/>
  <mergeCells count="12">
    <mergeCell ref="B233:C233"/>
    <mergeCell ref="B271:C271"/>
    <mergeCell ref="B423:C423"/>
    <mergeCell ref="B309:C309"/>
    <mergeCell ref="B347:C347"/>
    <mergeCell ref="B385:C385"/>
    <mergeCell ref="B119:C119"/>
    <mergeCell ref="B157:C157"/>
    <mergeCell ref="B195:C195"/>
    <mergeCell ref="B5:C5"/>
    <mergeCell ref="B43:C43"/>
    <mergeCell ref="B81:C81"/>
  </mergeCells>
  <phoneticPr fontId="1"/>
  <conditionalFormatting sqref="C6:C36">
    <cfRule type="expression" dxfId="25" priority="222">
      <formula>IF(C6="日",TRUE)</formula>
    </cfRule>
  </conditionalFormatting>
  <conditionalFormatting sqref="C44:C74 C82:C112 C120:C150 C158:C188 C196:C226 C234:C264 C272:C302 C310:C340 C348:C378 C386:C416">
    <cfRule type="expression" dxfId="24" priority="150">
      <formula>IF(C44="日",TRUE)</formula>
    </cfRule>
  </conditionalFormatting>
  <conditionalFormatting sqref="C424:C454">
    <cfRule type="expression" dxfId="23" priority="99">
      <formula>IF(C424="日",TRUE)</formula>
    </cfRule>
  </conditionalFormatting>
  <conditionalFormatting sqref="D6:E36">
    <cfRule type="expression" dxfId="22" priority="13">
      <formula>IF(D6="閉館",TRUE)</formula>
    </cfRule>
  </conditionalFormatting>
  <conditionalFormatting sqref="D44:E74">
    <cfRule type="expression" dxfId="21" priority="1">
      <formula>IF(D44="閉館",TRUE)</formula>
    </cfRule>
  </conditionalFormatting>
  <conditionalFormatting sqref="D82:E112">
    <cfRule type="expression" dxfId="20" priority="11">
      <formula>IF(D82="閉館",TRUE)</formula>
    </cfRule>
  </conditionalFormatting>
  <conditionalFormatting sqref="D120:E150">
    <cfRule type="expression" dxfId="19" priority="10">
      <formula>IF(D120="閉館",TRUE)</formula>
    </cfRule>
  </conditionalFormatting>
  <conditionalFormatting sqref="D158:E188">
    <cfRule type="expression" dxfId="18" priority="9">
      <formula>IF(D158="閉館",TRUE)</formula>
    </cfRule>
  </conditionalFormatting>
  <conditionalFormatting sqref="D196:E226">
    <cfRule type="expression" dxfId="17" priority="8">
      <formula>IF(D196="閉館",TRUE)</formula>
    </cfRule>
  </conditionalFormatting>
  <conditionalFormatting sqref="D234:E264">
    <cfRule type="expression" dxfId="16" priority="7">
      <formula>IF(D234="閉館",TRUE)</formula>
    </cfRule>
  </conditionalFormatting>
  <conditionalFormatting sqref="D272:E302">
    <cfRule type="expression" dxfId="15" priority="6">
      <formula>IF(D272="閉館",TRUE)</formula>
    </cfRule>
  </conditionalFormatting>
  <conditionalFormatting sqref="D310:E340">
    <cfRule type="expression" dxfId="14" priority="5">
      <formula>IF(D310="閉館",TRUE)</formula>
    </cfRule>
  </conditionalFormatting>
  <conditionalFormatting sqref="D348:E378">
    <cfRule type="expression" dxfId="13" priority="4">
      <formula>IF(D348="閉館",TRUE)</formula>
    </cfRule>
  </conditionalFormatting>
  <conditionalFormatting sqref="D386:E416">
    <cfRule type="expression" dxfId="12" priority="3">
      <formula>IF(D386="閉館",TRUE)</formula>
    </cfRule>
  </conditionalFormatting>
  <conditionalFormatting sqref="D424:E454">
    <cfRule type="expression" dxfId="11" priority="2">
      <formula>IF(D424="閉館",TRUE)</formula>
    </cfRule>
  </conditionalFormatting>
  <dataValidations count="1">
    <dataValidation type="list" allowBlank="1" showInputMessage="1" showErrorMessage="1" sqref="E6:E36 E44:E74 E82:E112 E120:E150 E158:E188 E196:E226 E234:E264 E272:E302 E310:E340 E348:E378 E386:E416 E424:E454" xr:uid="{00000000-0002-0000-0200-000000000000}">
      <formula1>$H$2</formula1>
    </dataValidation>
  </dataValidations>
  <pageMargins left="0.39370078740157483" right="0" top="0.35433070866141736" bottom="0.35433070866141736" header="0.31496062992125984" footer="0.31496062992125984"/>
  <pageSetup paperSize="9" scale="84" fitToHeight="0" orientation="portrait" horizontalDpi="300" verticalDpi="300" r:id="rId1"/>
  <rowBreaks count="11" manualBreakCount="11">
    <brk id="37" max="4" man="1"/>
    <brk id="75" max="4" man="1"/>
    <brk id="113" max="4" man="1"/>
    <brk id="151" max="4" man="1"/>
    <brk id="189" max="4" man="1"/>
    <brk id="227" max="4" man="1"/>
    <brk id="265" max="4" man="1"/>
    <brk id="303" max="4" man="1"/>
    <brk id="341" max="4" man="1"/>
    <brk id="379" max="4" man="1"/>
    <brk id="417" max="4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92"/>
  <sheetViews>
    <sheetView view="pageBreakPreview" topLeftCell="A457" zoomScaleNormal="100" zoomScaleSheetLayoutView="100" workbookViewId="0">
      <selection activeCell="D471" sqref="D471:E471"/>
    </sheetView>
  </sheetViews>
  <sheetFormatPr defaultRowHeight="18.75"/>
  <cols>
    <col min="1" max="1" width="10.125" customWidth="1"/>
    <col min="2" max="2" width="13.5" customWidth="1"/>
    <col min="3" max="3" width="9.75" customWidth="1"/>
    <col min="4" max="5" width="11.5" customWidth="1"/>
    <col min="6" max="6" width="24.25" customWidth="1"/>
    <col min="15" max="15" width="10.25" bestFit="1" customWidth="1"/>
  </cols>
  <sheetData>
    <row r="1" spans="1:15">
      <c r="A1" s="109" t="s">
        <v>44</v>
      </c>
      <c r="B1" s="109"/>
      <c r="C1" s="109"/>
      <c r="D1" s="109"/>
      <c r="E1" s="109"/>
      <c r="F1" s="109"/>
    </row>
    <row r="2" spans="1:15" ht="10.5" customHeight="1">
      <c r="A2" s="110"/>
    </row>
    <row r="3" spans="1:15">
      <c r="A3" s="157" t="s">
        <v>45</v>
      </c>
      <c r="B3" s="157"/>
      <c r="C3" s="157"/>
      <c r="D3" s="157"/>
      <c r="E3" s="157"/>
      <c r="F3" s="157"/>
    </row>
    <row r="4" spans="1:15">
      <c r="A4" s="111"/>
      <c r="B4" s="112"/>
      <c r="C4" s="112"/>
      <c r="D4" s="112"/>
      <c r="E4" s="112"/>
      <c r="F4" s="135" t="s">
        <v>104</v>
      </c>
    </row>
    <row r="5" spans="1:15">
      <c r="A5" s="113" t="s">
        <v>46</v>
      </c>
      <c r="B5" s="112"/>
      <c r="C5" s="112"/>
      <c r="D5" s="112"/>
      <c r="E5" s="112"/>
      <c r="F5" s="112"/>
    </row>
    <row r="6" spans="1:15">
      <c r="A6" s="134" t="s">
        <v>103</v>
      </c>
      <c r="B6" s="112" t="s">
        <v>82</v>
      </c>
      <c r="C6" s="112"/>
      <c r="D6" s="112"/>
      <c r="E6" s="112"/>
      <c r="F6" s="112"/>
    </row>
    <row r="7" spans="1:15">
      <c r="A7" s="112"/>
      <c r="B7" s="112"/>
      <c r="C7" s="112"/>
      <c r="D7" s="112"/>
      <c r="E7" s="135" t="s">
        <v>102</v>
      </c>
      <c r="F7" s="112" t="s">
        <v>83</v>
      </c>
      <c r="H7" t="s">
        <v>80</v>
      </c>
    </row>
    <row r="8" spans="1:15" ht="12.75" customHeight="1">
      <c r="A8" s="113"/>
      <c r="B8" s="112"/>
      <c r="C8" s="112"/>
      <c r="D8" s="112"/>
      <c r="E8" s="112"/>
      <c r="F8" s="112"/>
      <c r="H8">
        <v>6</v>
      </c>
      <c r="J8">
        <v>38</v>
      </c>
      <c r="L8" t="s">
        <v>79</v>
      </c>
    </row>
    <row r="9" spans="1:15" ht="57.75" customHeight="1" thickBot="1">
      <c r="A9" s="158" t="s">
        <v>86</v>
      </c>
      <c r="B9" s="158"/>
      <c r="C9" s="158"/>
      <c r="D9" s="158"/>
      <c r="E9" s="158"/>
      <c r="F9" s="158"/>
      <c r="H9">
        <v>36</v>
      </c>
      <c r="L9" s="115" t="s">
        <v>76</v>
      </c>
    </row>
    <row r="10" spans="1:15" s="115" customFormat="1" ht="19.5" thickBot="1">
      <c r="A10" s="116"/>
      <c r="B10" s="159" t="s">
        <v>47</v>
      </c>
      <c r="C10" s="160"/>
      <c r="D10" s="117" t="s">
        <v>49</v>
      </c>
      <c r="E10" s="118" t="s">
        <v>50</v>
      </c>
      <c r="F10" s="116"/>
      <c r="H10" s="119" t="s">
        <v>65</v>
      </c>
      <c r="I10" s="120" t="s">
        <v>63</v>
      </c>
      <c r="J10" s="120" t="s">
        <v>64</v>
      </c>
      <c r="L10" s="115" t="s">
        <v>77</v>
      </c>
    </row>
    <row r="11" spans="1:15">
      <c r="A11" s="112"/>
      <c r="B11" s="121" t="s">
        <v>101</v>
      </c>
      <c r="C11" s="122" t="s">
        <v>58</v>
      </c>
      <c r="D11" s="155">
        <f>IFERROR(INDEX('入力表（利用申込のない夜間閉館）'!B$6:B$36,'様式１（区への申請用）'!J11,1),"")</f>
        <v>45748</v>
      </c>
      <c r="E11" s="156"/>
      <c r="F11" s="112"/>
      <c r="H11" s="123">
        <v>1</v>
      </c>
      <c r="I11" s="124">
        <f>MATCH("利用申込のない夜間閉館",'入力表（利用申込のない夜間閉館）'!E6:E36,0)</f>
        <v>1</v>
      </c>
      <c r="J11" s="124">
        <f>I11</f>
        <v>1</v>
      </c>
      <c r="L11" s="53" t="s">
        <v>78</v>
      </c>
      <c r="M11" s="115"/>
      <c r="O11" s="125"/>
    </row>
    <row r="12" spans="1:15">
      <c r="A12" s="112"/>
      <c r="B12" s="126">
        <v>2025</v>
      </c>
      <c r="C12" s="122"/>
      <c r="D12" s="153">
        <f ca="1">IFERROR(INDEX('入力表（利用申込のない夜間閉館）'!B$6:B$36,'様式１（区への申請用）'!J12,1),"")</f>
        <v>45749</v>
      </c>
      <c r="E12" s="154"/>
      <c r="F12" s="112"/>
      <c r="H12" s="123">
        <v>2</v>
      </c>
      <c r="I12" s="123">
        <f ca="1">MATCH("利用申込のない夜間閉館",INDIRECT("'入力表（利用申込のない夜間閉館）'!E"&amp;6+J11&amp;":E36"),0)</f>
        <v>1</v>
      </c>
      <c r="J12" s="123">
        <f ca="1">SUM(I11+I12)</f>
        <v>2</v>
      </c>
      <c r="O12" s="125"/>
    </row>
    <row r="13" spans="1:15">
      <c r="A13" s="112"/>
      <c r="B13" s="121"/>
      <c r="C13" s="122"/>
      <c r="D13" s="153">
        <f ca="1">IFERROR(INDEX('入力表（利用申込のない夜間閉館）'!B$6:B$36,'様式１（区への申請用）'!J13,1),"")</f>
        <v>45750</v>
      </c>
      <c r="E13" s="154"/>
      <c r="F13" s="112"/>
      <c r="H13" s="123">
        <v>3</v>
      </c>
      <c r="I13" s="123">
        <f ca="1">MATCH("利用申込のない夜間閉館",INDIRECT("'入力表（利用申込のない夜間閉館）'!E"&amp;6+J12&amp;":E36"),0)</f>
        <v>1</v>
      </c>
      <c r="J13" s="123">
        <f ca="1">SUM(J12+I13)</f>
        <v>3</v>
      </c>
      <c r="O13" s="125"/>
    </row>
    <row r="14" spans="1:15">
      <c r="A14" s="112"/>
      <c r="B14" s="121"/>
      <c r="C14" s="127"/>
      <c r="D14" s="153">
        <f ca="1">IFERROR(INDEX('入力表（利用申込のない夜間閉館）'!B$6:B$36,'様式１（区への申請用）'!J14,1),"")</f>
        <v>45751</v>
      </c>
      <c r="E14" s="154"/>
      <c r="F14" s="112"/>
      <c r="H14" s="123">
        <v>4</v>
      </c>
      <c r="I14" s="123">
        <f t="shared" ref="I14:I41" ca="1" si="0">MATCH("利用申込のない夜間閉館",INDIRECT("'入力表（利用申込のない夜間閉館）'!E"&amp;6+J13&amp;":E36"),0)</f>
        <v>1</v>
      </c>
      <c r="J14" s="123">
        <f t="shared" ref="J14:J41" ca="1" si="1">SUM(J13+I14)</f>
        <v>4</v>
      </c>
      <c r="O14" s="125"/>
    </row>
    <row r="15" spans="1:15">
      <c r="A15" s="112"/>
      <c r="B15" s="121"/>
      <c r="C15" s="127"/>
      <c r="D15" s="153">
        <f ca="1">IFERROR(INDEX('入力表（利用申込のない夜間閉館）'!B$6:B$36,'様式１（区への申請用）'!J15,1),"")</f>
        <v>45754</v>
      </c>
      <c r="E15" s="154"/>
      <c r="F15" s="112"/>
      <c r="H15" s="123">
        <v>5</v>
      </c>
      <c r="I15" s="123">
        <f t="shared" ca="1" si="0"/>
        <v>3</v>
      </c>
      <c r="J15" s="123">
        <f t="shared" ca="1" si="1"/>
        <v>7</v>
      </c>
      <c r="O15" s="125"/>
    </row>
    <row r="16" spans="1:15">
      <c r="A16" s="112"/>
      <c r="B16" s="121"/>
      <c r="C16" s="127"/>
      <c r="D16" s="153">
        <f ca="1">IFERROR(INDEX('入力表（利用申込のない夜間閉館）'!B$6:B$36,'様式１（区への申請用）'!J16,1),"")</f>
        <v>45757</v>
      </c>
      <c r="E16" s="154"/>
      <c r="F16" s="112"/>
      <c r="H16" s="123">
        <v>6</v>
      </c>
      <c r="I16" s="123">
        <f t="shared" ca="1" si="0"/>
        <v>3</v>
      </c>
      <c r="J16" s="123">
        <f t="shared" ca="1" si="1"/>
        <v>10</v>
      </c>
      <c r="O16" s="125"/>
    </row>
    <row r="17" spans="1:15">
      <c r="A17" s="112"/>
      <c r="B17" s="121"/>
      <c r="C17" s="127"/>
      <c r="D17" s="153">
        <f ca="1">IFERROR(INDEX('入力表（利用申込のない夜間閉館）'!B$6:B$36,'様式１（区への申請用）'!J17,1),"")</f>
        <v>45761</v>
      </c>
      <c r="E17" s="154"/>
      <c r="F17" s="112"/>
      <c r="H17" s="123">
        <v>7</v>
      </c>
      <c r="I17" s="123">
        <f t="shared" ca="1" si="0"/>
        <v>4</v>
      </c>
      <c r="J17" s="123">
        <f t="shared" ca="1" si="1"/>
        <v>14</v>
      </c>
      <c r="O17" s="125"/>
    </row>
    <row r="18" spans="1:15">
      <c r="A18" s="112"/>
      <c r="B18" s="121"/>
      <c r="C18" s="127"/>
      <c r="D18" s="153">
        <f ca="1">IFERROR(INDEX('入力表（利用申込のない夜間閉館）'!B$6:B$36,'様式１（区への申請用）'!J18,1),"")</f>
        <v>45762</v>
      </c>
      <c r="E18" s="154"/>
      <c r="F18" s="112"/>
      <c r="H18" s="123">
        <v>8</v>
      </c>
      <c r="I18" s="123">
        <f t="shared" ca="1" si="0"/>
        <v>1</v>
      </c>
      <c r="J18" s="123">
        <f t="shared" ca="1" si="1"/>
        <v>15</v>
      </c>
    </row>
    <row r="19" spans="1:15">
      <c r="A19" s="112"/>
      <c r="B19" s="121"/>
      <c r="C19" s="127"/>
      <c r="D19" s="153">
        <f ca="1">IFERROR(INDEX('入力表（利用申込のない夜間閉館）'!B$6:B$36,'様式１（区への申請用）'!J19,1),"")</f>
        <v>45771</v>
      </c>
      <c r="E19" s="154"/>
      <c r="F19" s="112"/>
      <c r="H19" s="123">
        <v>9</v>
      </c>
      <c r="I19" s="123">
        <f t="shared" ca="1" si="0"/>
        <v>9</v>
      </c>
      <c r="J19" s="123">
        <f t="shared" ca="1" si="1"/>
        <v>24</v>
      </c>
    </row>
    <row r="20" spans="1:15">
      <c r="A20" s="112"/>
      <c r="B20" s="121"/>
      <c r="C20" s="127"/>
      <c r="D20" s="153">
        <f ca="1">IFERROR(INDEX('入力表（利用申込のない夜間閉館）'!B$6:B$36,'様式１（区への申請用）'!J20,1),"")</f>
        <v>45773</v>
      </c>
      <c r="E20" s="154"/>
      <c r="F20" s="112"/>
      <c r="H20" s="123">
        <v>10</v>
      </c>
      <c r="I20" s="123">
        <f t="shared" ca="1" si="0"/>
        <v>2</v>
      </c>
      <c r="J20" s="123">
        <f t="shared" ca="1" si="1"/>
        <v>26</v>
      </c>
    </row>
    <row r="21" spans="1:15">
      <c r="A21" s="112"/>
      <c r="B21" s="121"/>
      <c r="C21" s="127"/>
      <c r="D21" s="153" t="str">
        <f ca="1">IFERROR(INDEX('入力表（利用申込のない夜間閉館）'!B$6:B$36,'様式１（区への申請用）'!J21,1),"")</f>
        <v/>
      </c>
      <c r="E21" s="154"/>
      <c r="F21" s="112"/>
      <c r="H21" s="123">
        <v>11</v>
      </c>
      <c r="I21" s="123" t="e">
        <f t="shared" ca="1" si="0"/>
        <v>#N/A</v>
      </c>
      <c r="J21" s="123" t="e">
        <f t="shared" ca="1" si="1"/>
        <v>#N/A</v>
      </c>
    </row>
    <row r="22" spans="1:15">
      <c r="A22" s="112"/>
      <c r="B22" s="121"/>
      <c r="C22" s="127"/>
      <c r="D22" s="153" t="str">
        <f ca="1">IFERROR(INDEX('入力表（利用申込のない夜間閉館）'!B$6:B$36,'様式１（区への申請用）'!J22,1),"")</f>
        <v/>
      </c>
      <c r="E22" s="154"/>
      <c r="F22" s="112"/>
      <c r="H22" s="123">
        <v>12</v>
      </c>
      <c r="I22" s="123" t="e">
        <f t="shared" ca="1" si="0"/>
        <v>#N/A</v>
      </c>
      <c r="J22" s="123" t="e">
        <f t="shared" ca="1" si="1"/>
        <v>#N/A</v>
      </c>
    </row>
    <row r="23" spans="1:15">
      <c r="A23" s="112"/>
      <c r="B23" s="121"/>
      <c r="C23" s="127"/>
      <c r="D23" s="153" t="str">
        <f ca="1">IFERROR(INDEX('入力表（利用申込のない夜間閉館）'!B$6:B$36,'様式１（区への申請用）'!J23,1),"")</f>
        <v/>
      </c>
      <c r="E23" s="154"/>
      <c r="F23" s="112"/>
      <c r="H23" s="123">
        <v>13</v>
      </c>
      <c r="I23" s="123" t="e">
        <f t="shared" ca="1" si="0"/>
        <v>#N/A</v>
      </c>
      <c r="J23" s="123" t="e">
        <f t="shared" ca="1" si="1"/>
        <v>#N/A</v>
      </c>
    </row>
    <row r="24" spans="1:15">
      <c r="A24" s="112"/>
      <c r="B24" s="121"/>
      <c r="C24" s="127"/>
      <c r="D24" s="153" t="str">
        <f ca="1">IFERROR(INDEX('入力表（利用申込のない夜間閉館）'!B$6:B$36,'様式１（区への申請用）'!J24,1),"")</f>
        <v/>
      </c>
      <c r="E24" s="154"/>
      <c r="F24" s="112"/>
      <c r="H24" s="123">
        <v>14</v>
      </c>
      <c r="I24" s="123" t="e">
        <f t="shared" ca="1" si="0"/>
        <v>#N/A</v>
      </c>
      <c r="J24" s="123" t="e">
        <f t="shared" ca="1" si="1"/>
        <v>#N/A</v>
      </c>
    </row>
    <row r="25" spans="1:15">
      <c r="A25" s="112"/>
      <c r="B25" s="121"/>
      <c r="C25" s="127"/>
      <c r="D25" s="153" t="str">
        <f ca="1">IFERROR(INDEX('入力表（利用申込のない夜間閉館）'!B$6:B$36,'様式１（区への申請用）'!J25,1),"")</f>
        <v/>
      </c>
      <c r="E25" s="154"/>
      <c r="F25" s="112"/>
      <c r="H25" s="123">
        <v>15</v>
      </c>
      <c r="I25" s="123" t="e">
        <f t="shared" ca="1" si="0"/>
        <v>#N/A</v>
      </c>
      <c r="J25" s="123" t="e">
        <f t="shared" ca="1" si="1"/>
        <v>#N/A</v>
      </c>
    </row>
    <row r="26" spans="1:15">
      <c r="A26" s="112"/>
      <c r="B26" s="121"/>
      <c r="C26" s="127"/>
      <c r="D26" s="153" t="str">
        <f ca="1">IFERROR(INDEX('入力表（利用申込のない夜間閉館）'!B$6:B$36,'様式１（区への申請用）'!J26,1),"")</f>
        <v/>
      </c>
      <c r="E26" s="154"/>
      <c r="F26" s="112"/>
      <c r="H26" s="123">
        <v>16</v>
      </c>
      <c r="I26" s="123" t="e">
        <f t="shared" ca="1" si="0"/>
        <v>#N/A</v>
      </c>
      <c r="J26" s="123" t="e">
        <f t="shared" ca="1" si="1"/>
        <v>#N/A</v>
      </c>
    </row>
    <row r="27" spans="1:15">
      <c r="A27" s="112"/>
      <c r="B27" s="121"/>
      <c r="C27" s="127"/>
      <c r="D27" s="153" t="str">
        <f ca="1">IFERROR(INDEX('入力表（利用申込のない夜間閉館）'!B$6:B$36,'様式１（区への申請用）'!J27,1),"")</f>
        <v/>
      </c>
      <c r="E27" s="154"/>
      <c r="F27" s="112"/>
      <c r="H27" s="123">
        <v>17</v>
      </c>
      <c r="I27" s="123" t="e">
        <f t="shared" ca="1" si="0"/>
        <v>#N/A</v>
      </c>
      <c r="J27" s="123" t="e">
        <f t="shared" ca="1" si="1"/>
        <v>#N/A</v>
      </c>
    </row>
    <row r="28" spans="1:15">
      <c r="A28" s="112"/>
      <c r="B28" s="121"/>
      <c r="C28" s="127"/>
      <c r="D28" s="153" t="str">
        <f ca="1">IFERROR(INDEX('入力表（利用申込のない夜間閉館）'!B$6:B$36,'様式１（区への申請用）'!J28,1),"")</f>
        <v/>
      </c>
      <c r="E28" s="154"/>
      <c r="F28" s="112"/>
      <c r="H28" s="123">
        <v>18</v>
      </c>
      <c r="I28" s="123" t="e">
        <f t="shared" ca="1" si="0"/>
        <v>#N/A</v>
      </c>
      <c r="J28" s="123" t="e">
        <f t="shared" ca="1" si="1"/>
        <v>#N/A</v>
      </c>
    </row>
    <row r="29" spans="1:15">
      <c r="A29" s="112"/>
      <c r="B29" s="121"/>
      <c r="C29" s="127"/>
      <c r="D29" s="153" t="str">
        <f ca="1">IFERROR(INDEX('入力表（利用申込のない夜間閉館）'!B$6:B$36,'様式１（区への申請用）'!J29,1),"")</f>
        <v/>
      </c>
      <c r="E29" s="154"/>
      <c r="F29" s="112"/>
      <c r="H29" s="123">
        <v>19</v>
      </c>
      <c r="I29" s="123" t="e">
        <f t="shared" ca="1" si="0"/>
        <v>#N/A</v>
      </c>
      <c r="J29" s="123" t="e">
        <f t="shared" ca="1" si="1"/>
        <v>#N/A</v>
      </c>
    </row>
    <row r="30" spans="1:15">
      <c r="A30" s="112"/>
      <c r="B30" s="121"/>
      <c r="C30" s="127"/>
      <c r="D30" s="153" t="str">
        <f ca="1">IFERROR(INDEX('入力表（利用申込のない夜間閉館）'!B$6:B$36,'様式１（区への申請用）'!J30,1),"")</f>
        <v/>
      </c>
      <c r="E30" s="154"/>
      <c r="F30" s="112"/>
      <c r="H30" s="123">
        <v>20</v>
      </c>
      <c r="I30" s="123" t="e">
        <f t="shared" ca="1" si="0"/>
        <v>#N/A</v>
      </c>
      <c r="J30" s="123" t="e">
        <f t="shared" ca="1" si="1"/>
        <v>#N/A</v>
      </c>
    </row>
    <row r="31" spans="1:15">
      <c r="A31" s="112"/>
      <c r="B31" s="121"/>
      <c r="C31" s="127"/>
      <c r="D31" s="153" t="str">
        <f ca="1">IFERROR(INDEX('入力表（利用申込のない夜間閉館）'!B$6:B$36,'様式１（区への申請用）'!J31,1),"")</f>
        <v/>
      </c>
      <c r="E31" s="154"/>
      <c r="F31" s="112"/>
      <c r="H31" s="123">
        <v>21</v>
      </c>
      <c r="I31" s="123" t="e">
        <f t="shared" ca="1" si="0"/>
        <v>#N/A</v>
      </c>
      <c r="J31" s="123" t="e">
        <f t="shared" ca="1" si="1"/>
        <v>#N/A</v>
      </c>
    </row>
    <row r="32" spans="1:15">
      <c r="A32" s="112"/>
      <c r="B32" s="121"/>
      <c r="C32" s="127"/>
      <c r="D32" s="153" t="str">
        <f ca="1">IFERROR(INDEX('入力表（利用申込のない夜間閉館）'!B$6:B$36,'様式１（区への申請用）'!J32,1),"")</f>
        <v/>
      </c>
      <c r="E32" s="154"/>
      <c r="F32" s="112"/>
      <c r="H32" s="123">
        <v>22</v>
      </c>
      <c r="I32" s="123" t="e">
        <f t="shared" ca="1" si="0"/>
        <v>#N/A</v>
      </c>
      <c r="J32" s="123" t="e">
        <f t="shared" ca="1" si="1"/>
        <v>#N/A</v>
      </c>
    </row>
    <row r="33" spans="1:10">
      <c r="A33" s="112"/>
      <c r="B33" s="121"/>
      <c r="C33" s="127"/>
      <c r="D33" s="153" t="str">
        <f ca="1">IFERROR(INDEX('入力表（利用申込のない夜間閉館）'!B$6:B$36,'様式１（区への申請用）'!J33,1),"")</f>
        <v/>
      </c>
      <c r="E33" s="154"/>
      <c r="F33" s="112"/>
      <c r="H33" s="123">
        <v>23</v>
      </c>
      <c r="I33" s="123" t="e">
        <f t="shared" ca="1" si="0"/>
        <v>#N/A</v>
      </c>
      <c r="J33" s="123" t="e">
        <f t="shared" ca="1" si="1"/>
        <v>#N/A</v>
      </c>
    </row>
    <row r="34" spans="1:10">
      <c r="A34" s="112"/>
      <c r="B34" s="121"/>
      <c r="C34" s="127"/>
      <c r="D34" s="153" t="str">
        <f ca="1">IFERROR(INDEX('入力表（利用申込のない夜間閉館）'!B$6:B$36,'様式１（区への申請用）'!J34,1),"")</f>
        <v/>
      </c>
      <c r="E34" s="154"/>
      <c r="F34" s="112"/>
      <c r="H34" s="123">
        <v>24</v>
      </c>
      <c r="I34" s="123" t="e">
        <f t="shared" ca="1" si="0"/>
        <v>#N/A</v>
      </c>
      <c r="J34" s="123" t="e">
        <f t="shared" ca="1" si="1"/>
        <v>#N/A</v>
      </c>
    </row>
    <row r="35" spans="1:10">
      <c r="A35" s="112"/>
      <c r="B35" s="121"/>
      <c r="C35" s="127"/>
      <c r="D35" s="153" t="str">
        <f ca="1">IFERROR(INDEX('入力表（利用申込のない夜間閉館）'!B$6:B$36,'様式１（区への申請用）'!J35,1),"")</f>
        <v/>
      </c>
      <c r="E35" s="154"/>
      <c r="F35" s="112"/>
      <c r="H35" s="123">
        <v>25</v>
      </c>
      <c r="I35" s="123" t="e">
        <f t="shared" ca="1" si="0"/>
        <v>#N/A</v>
      </c>
      <c r="J35" s="123" t="e">
        <f t="shared" ca="1" si="1"/>
        <v>#N/A</v>
      </c>
    </row>
    <row r="36" spans="1:10">
      <c r="A36" s="112"/>
      <c r="B36" s="121"/>
      <c r="C36" s="127"/>
      <c r="D36" s="153" t="str">
        <f ca="1">IFERROR(INDEX('入力表（利用申込のない夜間閉館）'!B$6:B$36,'様式１（区への申請用）'!J36,1),"")</f>
        <v/>
      </c>
      <c r="E36" s="154"/>
      <c r="F36" s="112"/>
      <c r="H36" s="123">
        <v>26</v>
      </c>
      <c r="I36" s="123" t="e">
        <f t="shared" ca="1" si="0"/>
        <v>#N/A</v>
      </c>
      <c r="J36" s="123" t="e">
        <f t="shared" ca="1" si="1"/>
        <v>#N/A</v>
      </c>
    </row>
    <row r="37" spans="1:10">
      <c r="A37" s="112"/>
      <c r="B37" s="128"/>
      <c r="C37" s="129"/>
      <c r="D37" s="153" t="str">
        <f ca="1">IFERROR(INDEX('入力表（利用申込のない夜間閉館）'!B$6:B$36,'様式１（区への申請用）'!J37,1),"")</f>
        <v/>
      </c>
      <c r="E37" s="154"/>
      <c r="F37" s="112"/>
      <c r="H37" s="123">
        <v>27</v>
      </c>
      <c r="I37" s="123" t="e">
        <f t="shared" ca="1" si="0"/>
        <v>#N/A</v>
      </c>
      <c r="J37" s="123" t="e">
        <f t="shared" ca="1" si="1"/>
        <v>#N/A</v>
      </c>
    </row>
    <row r="38" spans="1:10">
      <c r="A38" s="113"/>
      <c r="B38" s="112"/>
      <c r="C38" s="112"/>
      <c r="D38" s="112"/>
      <c r="E38" s="112"/>
      <c r="F38" s="112"/>
      <c r="H38" s="123">
        <v>28</v>
      </c>
      <c r="I38" s="123" t="e">
        <f t="shared" ca="1" si="0"/>
        <v>#N/A</v>
      </c>
      <c r="J38" s="123" t="e">
        <f t="shared" ca="1" si="1"/>
        <v>#N/A</v>
      </c>
    </row>
    <row r="39" spans="1:10">
      <c r="A39" s="112"/>
      <c r="B39" s="130"/>
      <c r="C39" s="130"/>
      <c r="D39" s="112"/>
      <c r="E39" s="112"/>
      <c r="F39" s="130"/>
      <c r="H39" s="123">
        <v>29</v>
      </c>
      <c r="I39" s="123" t="e">
        <f t="shared" ca="1" si="0"/>
        <v>#N/A</v>
      </c>
      <c r="J39" s="123" t="e">
        <f t="shared" ca="1" si="1"/>
        <v>#N/A</v>
      </c>
    </row>
    <row r="40" spans="1:10">
      <c r="A40" s="130" t="s">
        <v>48</v>
      </c>
      <c r="B40" s="112"/>
      <c r="C40" s="112"/>
      <c r="D40" s="112"/>
      <c r="E40" s="112"/>
      <c r="F40" s="112"/>
      <c r="H40" s="123">
        <v>30</v>
      </c>
      <c r="I40" s="123" t="e">
        <f t="shared" ca="1" si="0"/>
        <v>#N/A</v>
      </c>
      <c r="J40" s="123" t="e">
        <f t="shared" ca="1" si="1"/>
        <v>#N/A</v>
      </c>
    </row>
    <row r="41" spans="1:10">
      <c r="A41" s="131"/>
      <c r="B41" s="112"/>
      <c r="C41" s="112"/>
      <c r="D41" s="112"/>
      <c r="E41" s="112"/>
      <c r="F41" s="112"/>
      <c r="H41" s="123">
        <v>31</v>
      </c>
      <c r="I41" s="123" t="e">
        <f t="shared" ca="1" si="0"/>
        <v>#N/A</v>
      </c>
      <c r="J41" s="123" t="e">
        <f t="shared" ca="1" si="1"/>
        <v>#N/A</v>
      </c>
    </row>
    <row r="42" spans="1:10">
      <c r="A42" s="109" t="str">
        <f>$A$1</f>
        <v>様式１（第２条第２項第２号）</v>
      </c>
      <c r="B42" s="109"/>
      <c r="C42" s="109"/>
      <c r="D42" s="109"/>
      <c r="E42" s="109"/>
      <c r="F42" s="109"/>
    </row>
    <row r="43" spans="1:10" ht="10.5" customHeight="1">
      <c r="A43" s="110"/>
    </row>
    <row r="44" spans="1:10">
      <c r="A44" s="157" t="str">
        <f>$A$3</f>
        <v>夜間閉館申請書</v>
      </c>
      <c r="B44" s="157"/>
      <c r="C44" s="157"/>
      <c r="D44" s="157"/>
      <c r="E44" s="157"/>
      <c r="F44" s="157"/>
    </row>
    <row r="45" spans="1:10">
      <c r="A45" s="111"/>
      <c r="B45" s="112"/>
      <c r="C45" s="112"/>
      <c r="D45" s="112"/>
      <c r="E45" s="112"/>
      <c r="F45" s="135" t="s">
        <v>105</v>
      </c>
    </row>
    <row r="46" spans="1:10">
      <c r="A46" s="113" t="str">
        <f>$A$5</f>
        <v>（申請先）</v>
      </c>
      <c r="B46" s="112"/>
      <c r="C46" s="112"/>
      <c r="D46" s="112"/>
      <c r="E46" s="112"/>
      <c r="F46" s="112"/>
    </row>
    <row r="47" spans="1:10">
      <c r="A47" s="114" t="str">
        <f>A6</f>
        <v>磯子</v>
      </c>
      <c r="B47" s="112" t="s">
        <v>82</v>
      </c>
      <c r="C47" s="112"/>
      <c r="D47" s="112"/>
      <c r="E47" s="112"/>
      <c r="F47" s="112"/>
    </row>
    <row r="48" spans="1:10">
      <c r="A48" s="112"/>
      <c r="B48" s="112"/>
      <c r="C48" s="112"/>
      <c r="D48" s="112"/>
      <c r="E48" s="132" t="str">
        <f>E7</f>
        <v>洋光台</v>
      </c>
      <c r="F48" s="112" t="s">
        <v>83</v>
      </c>
    </row>
    <row r="49" spans="1:15" ht="12.75" customHeight="1">
      <c r="A49" s="113"/>
      <c r="B49" s="112"/>
      <c r="C49" s="112"/>
      <c r="D49" s="112"/>
      <c r="E49" s="112"/>
      <c r="F49" s="112"/>
      <c r="H49">
        <f>H8+$J$8</f>
        <v>44</v>
      </c>
    </row>
    <row r="50" spans="1:15" ht="57.75" customHeight="1" thickBot="1">
      <c r="A50" s="158" t="str">
        <f>A9</f>
        <v>　月曜日から土曜日の午後６時から午後９時（以下「夜間」という。）の施設利用の申込について、横浜市地域ケアプラザ施設使用及び目的外使用に関する要綱（以下「施設使用要綱」という。）第７条及び第８条に定める手続きが行われていない日のうち、次の日の夜間閉館を申請します。</v>
      </c>
      <c r="B50" s="158"/>
      <c r="C50" s="158"/>
      <c r="D50" s="158"/>
      <c r="E50" s="158"/>
      <c r="F50" s="158"/>
      <c r="H50">
        <f>H9+$J$8</f>
        <v>74</v>
      </c>
    </row>
    <row r="51" spans="1:15" s="115" customFormat="1" ht="19.5" thickBot="1">
      <c r="A51" s="116"/>
      <c r="B51" s="159" t="str">
        <f>B10</f>
        <v>年月</v>
      </c>
      <c r="C51" s="160"/>
      <c r="D51" s="117" t="str">
        <f>D10</f>
        <v>日</v>
      </c>
      <c r="E51" s="118" t="str">
        <f>E10</f>
        <v>（曜日）</v>
      </c>
      <c r="F51" s="116"/>
      <c r="H51" s="119" t="s">
        <v>65</v>
      </c>
      <c r="I51" s="120" t="s">
        <v>63</v>
      </c>
      <c r="J51" s="120" t="s">
        <v>64</v>
      </c>
    </row>
    <row r="52" spans="1:15">
      <c r="A52" s="112"/>
      <c r="B52" s="121" t="str">
        <f>$B$11</f>
        <v>令和７年</v>
      </c>
      <c r="C52" s="122" t="s">
        <v>66</v>
      </c>
      <c r="D52" s="155">
        <f>IFERROR(INDEX('入力表（利用申込のない夜間閉館）'!B$44:B$74,'様式１（区への申請用）'!J52,1),"")</f>
        <v>45778</v>
      </c>
      <c r="E52" s="156"/>
      <c r="F52" s="112"/>
      <c r="H52" s="123">
        <v>1</v>
      </c>
      <c r="I52" s="124">
        <f>MATCH("利用申込のない夜間閉館",'入力表（利用申込のない夜間閉館）'!E44:E74,0)</f>
        <v>1</v>
      </c>
      <c r="J52" s="124">
        <f>I52</f>
        <v>1</v>
      </c>
      <c r="L52" s="115"/>
      <c r="M52" s="115"/>
      <c r="O52" s="125"/>
    </row>
    <row r="53" spans="1:15">
      <c r="A53" s="112"/>
      <c r="B53" s="126">
        <f>$B$12</f>
        <v>2025</v>
      </c>
      <c r="C53" s="122"/>
      <c r="D53" s="153">
        <f ca="1">IFERROR(INDEX('入力表（利用申込のない夜間閉館）'!B$44:B$74,'様式１（区への申請用）'!J53,1),"")</f>
        <v>45779</v>
      </c>
      <c r="E53" s="154"/>
      <c r="F53" s="112"/>
      <c r="H53" s="123">
        <v>2</v>
      </c>
      <c r="I53" s="123">
        <f ca="1">MATCH("利用申込のない夜間閉館",INDIRECT("'入力表（利用申込のない夜間閉館）'!E"&amp;44+J52&amp;":e74"),0)</f>
        <v>1</v>
      </c>
      <c r="J53" s="123">
        <f ca="1">SUM(I52+I53)</f>
        <v>2</v>
      </c>
      <c r="O53" s="125"/>
    </row>
    <row r="54" spans="1:15">
      <c r="A54" s="112"/>
      <c r="B54" s="121"/>
      <c r="C54" s="122"/>
      <c r="D54" s="153">
        <f ca="1">IFERROR(INDEX('入力表（利用申込のない夜間閉館）'!B$44:B$74,'様式１（区への申請用）'!J54,1),"")</f>
        <v>45787</v>
      </c>
      <c r="E54" s="154"/>
      <c r="F54" s="112"/>
      <c r="H54" s="123">
        <v>3</v>
      </c>
      <c r="I54" s="123">
        <f t="shared" ref="I54:I82" ca="1" si="2">MATCH("利用申込のない夜間閉館",INDIRECT("'入力表（利用申込のない夜間閉館）'!E"&amp;44+J53&amp;":e74"),0)</f>
        <v>8</v>
      </c>
      <c r="J54" s="123">
        <f ca="1">SUM(J53+I54)</f>
        <v>10</v>
      </c>
      <c r="O54" s="125"/>
    </row>
    <row r="55" spans="1:15">
      <c r="A55" s="112"/>
      <c r="B55" s="121"/>
      <c r="C55" s="127"/>
      <c r="D55" s="153">
        <f ca="1">IFERROR(INDEX('入力表（利用申込のない夜間閉館）'!B$44:B$74,'様式１（区への申請用）'!J55,1),"")</f>
        <v>45789</v>
      </c>
      <c r="E55" s="154"/>
      <c r="F55" s="112"/>
      <c r="H55" s="123">
        <v>4</v>
      </c>
      <c r="I55" s="123">
        <f t="shared" ca="1" si="2"/>
        <v>2</v>
      </c>
      <c r="J55" s="123">
        <f t="shared" ref="J55:J82" ca="1" si="3">SUM(J54+I55)</f>
        <v>12</v>
      </c>
      <c r="O55" s="125"/>
    </row>
    <row r="56" spans="1:15">
      <c r="A56" s="112"/>
      <c r="B56" s="121"/>
      <c r="C56" s="127"/>
      <c r="D56" s="153">
        <f ca="1">IFERROR(INDEX('入力表（利用申込のない夜間閉館）'!B$44:B$74,'様式１（区への申請用）'!J56,1),"")</f>
        <v>45797</v>
      </c>
      <c r="E56" s="154"/>
      <c r="F56" s="112"/>
      <c r="H56" s="123">
        <v>5</v>
      </c>
      <c r="I56" s="123">
        <f t="shared" ca="1" si="2"/>
        <v>8</v>
      </c>
      <c r="J56" s="123">
        <f t="shared" ca="1" si="3"/>
        <v>20</v>
      </c>
      <c r="O56" s="125"/>
    </row>
    <row r="57" spans="1:15">
      <c r="A57" s="112"/>
      <c r="B57" s="121"/>
      <c r="C57" s="127"/>
      <c r="D57" s="153">
        <f ca="1">IFERROR(INDEX('入力表（利用申込のない夜間閉館）'!B$44:B$74,'様式１（区への申請用）'!J57,1),"")</f>
        <v>45801</v>
      </c>
      <c r="E57" s="154"/>
      <c r="F57" s="112"/>
      <c r="H57" s="123">
        <v>6</v>
      </c>
      <c r="I57" s="123">
        <f t="shared" ca="1" si="2"/>
        <v>4</v>
      </c>
      <c r="J57" s="123">
        <f t="shared" ca="1" si="3"/>
        <v>24</v>
      </c>
      <c r="O57" s="125"/>
    </row>
    <row r="58" spans="1:15">
      <c r="A58" s="112"/>
      <c r="B58" s="121"/>
      <c r="C58" s="127"/>
      <c r="D58" s="153">
        <f ca="1">IFERROR(INDEX('入力表（利用申込のない夜間閉館）'!B$44:B$74,'様式１（区への申請用）'!J58,1),"")</f>
        <v>45806</v>
      </c>
      <c r="E58" s="154"/>
      <c r="F58" s="112"/>
      <c r="H58" s="123">
        <v>7</v>
      </c>
      <c r="I58" s="123">
        <f t="shared" ca="1" si="2"/>
        <v>5</v>
      </c>
      <c r="J58" s="123">
        <f t="shared" ca="1" si="3"/>
        <v>29</v>
      </c>
      <c r="O58" s="125"/>
    </row>
    <row r="59" spans="1:15">
      <c r="A59" s="112"/>
      <c r="B59" s="121"/>
      <c r="C59" s="127"/>
      <c r="D59" s="153">
        <f ca="1">IFERROR(INDEX('入力表（利用申込のない夜間閉館）'!B$44:B$74,'様式１（区への申請用）'!J59,1),"")</f>
        <v>45808</v>
      </c>
      <c r="E59" s="154"/>
      <c r="F59" s="112"/>
      <c r="H59" s="123">
        <v>8</v>
      </c>
      <c r="I59" s="123">
        <f t="shared" ca="1" si="2"/>
        <v>2</v>
      </c>
      <c r="J59" s="123">
        <f t="shared" ca="1" si="3"/>
        <v>31</v>
      </c>
    </row>
    <row r="60" spans="1:15">
      <c r="A60" s="112"/>
      <c r="B60" s="121"/>
      <c r="C60" s="127"/>
      <c r="D60" s="153" t="str">
        <f ca="1">IFERROR(INDEX('入力表（利用申込のない夜間閉館）'!B$44:B$74,'様式１（区への申請用）'!J60,1),"")</f>
        <v/>
      </c>
      <c r="E60" s="154"/>
      <c r="F60" s="112"/>
      <c r="H60" s="123">
        <v>9</v>
      </c>
      <c r="I60" s="123">
        <f t="shared" ca="1" si="2"/>
        <v>1</v>
      </c>
      <c r="J60" s="123">
        <f t="shared" ca="1" si="3"/>
        <v>32</v>
      </c>
    </row>
    <row r="61" spans="1:15">
      <c r="A61" s="112"/>
      <c r="B61" s="121"/>
      <c r="C61" s="127"/>
      <c r="D61" s="153" t="str">
        <f ca="1">IFERROR(INDEX('入力表（利用申込のない夜間閉館）'!B$44:B$74,'様式１（区への申請用）'!J61,1),"")</f>
        <v/>
      </c>
      <c r="E61" s="154"/>
      <c r="F61" s="112"/>
      <c r="H61" s="123">
        <v>10</v>
      </c>
      <c r="I61" s="123">
        <f t="shared" ca="1" si="2"/>
        <v>1</v>
      </c>
      <c r="J61" s="123">
        <f t="shared" ca="1" si="3"/>
        <v>33</v>
      </c>
    </row>
    <row r="62" spans="1:15">
      <c r="A62" s="112"/>
      <c r="B62" s="121"/>
      <c r="C62" s="127"/>
      <c r="D62" s="153" t="str">
        <f ca="1">IFERROR(INDEX('入力表（利用申込のない夜間閉館）'!B$44:B$74,'様式１（区への申請用）'!J62,1),"")</f>
        <v/>
      </c>
      <c r="E62" s="154"/>
      <c r="F62" s="112"/>
      <c r="H62" s="123">
        <v>11</v>
      </c>
      <c r="I62" s="123">
        <f t="shared" ca="1" si="2"/>
        <v>1</v>
      </c>
      <c r="J62" s="123">
        <f t="shared" ca="1" si="3"/>
        <v>34</v>
      </c>
    </row>
    <row r="63" spans="1:15">
      <c r="A63" s="112"/>
      <c r="B63" s="121"/>
      <c r="C63" s="127"/>
      <c r="D63" s="153" t="str">
        <f ca="1">IFERROR(INDEX('入力表（利用申込のない夜間閉館）'!B$44:B$74,'様式１（区への申請用）'!J63,1),"")</f>
        <v/>
      </c>
      <c r="E63" s="154"/>
      <c r="F63" s="112"/>
      <c r="H63" s="123">
        <v>12</v>
      </c>
      <c r="I63" s="123">
        <f t="shared" ca="1" si="2"/>
        <v>1</v>
      </c>
      <c r="J63" s="123">
        <f t="shared" ca="1" si="3"/>
        <v>35</v>
      </c>
    </row>
    <row r="64" spans="1:15">
      <c r="A64" s="112"/>
      <c r="B64" s="121"/>
      <c r="C64" s="127"/>
      <c r="D64" s="153" t="str">
        <f ca="1">IFERROR(INDEX('入力表（利用申込のない夜間閉館）'!B$44:B$74,'様式１（区への申請用）'!J64,1),"")</f>
        <v/>
      </c>
      <c r="E64" s="154"/>
      <c r="F64" s="112"/>
      <c r="H64" s="123">
        <v>13</v>
      </c>
      <c r="I64" s="123">
        <f t="shared" ca="1" si="2"/>
        <v>1</v>
      </c>
      <c r="J64" s="123">
        <f t="shared" ca="1" si="3"/>
        <v>36</v>
      </c>
    </row>
    <row r="65" spans="1:10">
      <c r="A65" s="112"/>
      <c r="B65" s="121"/>
      <c r="C65" s="127"/>
      <c r="D65" s="153" t="str">
        <f ca="1">IFERROR(INDEX('入力表（利用申込のない夜間閉館）'!B$44:B$74,'様式１（区への申請用）'!J65,1),"")</f>
        <v/>
      </c>
      <c r="E65" s="154"/>
      <c r="F65" s="112"/>
      <c r="H65" s="123">
        <v>14</v>
      </c>
      <c r="I65" s="123">
        <f t="shared" ca="1" si="2"/>
        <v>1</v>
      </c>
      <c r="J65" s="123">
        <f t="shared" ca="1" si="3"/>
        <v>37</v>
      </c>
    </row>
    <row r="66" spans="1:10">
      <c r="A66" s="112"/>
      <c r="B66" s="121"/>
      <c r="C66" s="127"/>
      <c r="D66" s="153" t="str">
        <f ca="1">IFERROR(INDEX('入力表（利用申込のない夜間閉館）'!B$44:B$74,'様式１（区への申請用）'!J66,1),"")</f>
        <v/>
      </c>
      <c r="E66" s="154"/>
      <c r="F66" s="112"/>
      <c r="H66" s="123">
        <v>15</v>
      </c>
      <c r="I66" s="123">
        <f t="shared" ca="1" si="2"/>
        <v>1</v>
      </c>
      <c r="J66" s="123">
        <f t="shared" ca="1" si="3"/>
        <v>38</v>
      </c>
    </row>
    <row r="67" spans="1:10">
      <c r="A67" s="112"/>
      <c r="B67" s="121"/>
      <c r="C67" s="127"/>
      <c r="D67" s="153" t="str">
        <f ca="1">IFERROR(INDEX('入力表（利用申込のない夜間閉館）'!B$44:B$74,'様式１（区への申請用）'!J67,1),"")</f>
        <v/>
      </c>
      <c r="E67" s="154"/>
      <c r="F67" s="112"/>
      <c r="H67" s="123">
        <v>16</v>
      </c>
      <c r="I67" s="123">
        <f t="shared" ca="1" si="2"/>
        <v>1</v>
      </c>
      <c r="J67" s="123">
        <f t="shared" ca="1" si="3"/>
        <v>39</v>
      </c>
    </row>
    <row r="68" spans="1:10">
      <c r="A68" s="112"/>
      <c r="B68" s="121"/>
      <c r="C68" s="127"/>
      <c r="D68" s="153" t="str">
        <f ca="1">IFERROR(INDEX('入力表（利用申込のない夜間閉館）'!B$44:B$74,'様式１（区への申請用）'!J68,1),"")</f>
        <v/>
      </c>
      <c r="E68" s="154"/>
      <c r="F68" s="112"/>
      <c r="H68" s="123">
        <v>17</v>
      </c>
      <c r="I68" s="123">
        <f t="shared" ca="1" si="2"/>
        <v>1</v>
      </c>
      <c r="J68" s="123">
        <f t="shared" ca="1" si="3"/>
        <v>40</v>
      </c>
    </row>
    <row r="69" spans="1:10">
      <c r="A69" s="112"/>
      <c r="B69" s="121"/>
      <c r="C69" s="127"/>
      <c r="D69" s="153" t="str">
        <f ca="1">IFERROR(INDEX('入力表（利用申込のない夜間閉館）'!B$44:B$74,'様式１（区への申請用）'!J69,1),"")</f>
        <v/>
      </c>
      <c r="E69" s="154"/>
      <c r="F69" s="112"/>
      <c r="H69" s="123">
        <v>18</v>
      </c>
      <c r="I69" s="123">
        <f t="shared" ca="1" si="2"/>
        <v>1</v>
      </c>
      <c r="J69" s="123">
        <f t="shared" ca="1" si="3"/>
        <v>41</v>
      </c>
    </row>
    <row r="70" spans="1:10">
      <c r="A70" s="112"/>
      <c r="B70" s="121"/>
      <c r="C70" s="127"/>
      <c r="D70" s="153" t="str">
        <f ca="1">IFERROR(INDEX('入力表（利用申込のない夜間閉館）'!B$44:B$74,'様式１（区への申請用）'!J70,1),"")</f>
        <v/>
      </c>
      <c r="E70" s="154"/>
      <c r="F70" s="112"/>
      <c r="H70" s="123">
        <v>19</v>
      </c>
      <c r="I70" s="123">
        <f t="shared" ca="1" si="2"/>
        <v>1</v>
      </c>
      <c r="J70" s="123">
        <f t="shared" ca="1" si="3"/>
        <v>42</v>
      </c>
    </row>
    <row r="71" spans="1:10">
      <c r="A71" s="112"/>
      <c r="B71" s="121"/>
      <c r="C71" s="127"/>
      <c r="D71" s="153" t="str">
        <f ca="1">IFERROR(INDEX('入力表（利用申込のない夜間閉館）'!B$44:B$74,'様式１（区への申請用）'!J71,1),"")</f>
        <v/>
      </c>
      <c r="E71" s="154"/>
      <c r="F71" s="112"/>
      <c r="H71" s="123">
        <v>20</v>
      </c>
      <c r="I71" s="123">
        <f t="shared" ca="1" si="2"/>
        <v>1</v>
      </c>
      <c r="J71" s="123">
        <f t="shared" ca="1" si="3"/>
        <v>43</v>
      </c>
    </row>
    <row r="72" spans="1:10">
      <c r="A72" s="112"/>
      <c r="B72" s="121"/>
      <c r="C72" s="127"/>
      <c r="D72" s="153" t="str">
        <f ca="1">IFERROR(INDEX('入力表（利用申込のない夜間閉館）'!B$44:B$74,'様式１（区への申請用）'!J72,1),"")</f>
        <v/>
      </c>
      <c r="E72" s="154"/>
      <c r="F72" s="112"/>
      <c r="H72" s="123">
        <v>21</v>
      </c>
      <c r="I72" s="123">
        <f t="shared" ca="1" si="2"/>
        <v>1</v>
      </c>
      <c r="J72" s="123">
        <f t="shared" ca="1" si="3"/>
        <v>44</v>
      </c>
    </row>
    <row r="73" spans="1:10">
      <c r="A73" s="112"/>
      <c r="B73" s="121"/>
      <c r="C73" s="127"/>
      <c r="D73" s="153" t="str">
        <f ca="1">IFERROR(INDEX('入力表（利用申込のない夜間閉館）'!B$44:B$74,'様式１（区への申請用）'!J73,1),"")</f>
        <v/>
      </c>
      <c r="E73" s="154"/>
      <c r="F73" s="112"/>
      <c r="H73" s="123">
        <v>22</v>
      </c>
      <c r="I73" s="123">
        <f t="shared" ca="1" si="2"/>
        <v>1</v>
      </c>
      <c r="J73" s="123">
        <f t="shared" ca="1" si="3"/>
        <v>45</v>
      </c>
    </row>
    <row r="74" spans="1:10">
      <c r="A74" s="112"/>
      <c r="B74" s="121"/>
      <c r="C74" s="127"/>
      <c r="D74" s="153" t="str">
        <f ca="1">IFERROR(INDEX('入力表（利用申込のない夜間閉館）'!B$44:B$74,'様式１（区への申請用）'!J74,1),"")</f>
        <v/>
      </c>
      <c r="E74" s="154"/>
      <c r="F74" s="112"/>
      <c r="H74" s="123">
        <v>23</v>
      </c>
      <c r="I74" s="123">
        <f t="shared" ca="1" si="2"/>
        <v>1</v>
      </c>
      <c r="J74" s="123">
        <f t="shared" ca="1" si="3"/>
        <v>46</v>
      </c>
    </row>
    <row r="75" spans="1:10">
      <c r="A75" s="112"/>
      <c r="B75" s="121"/>
      <c r="C75" s="127"/>
      <c r="D75" s="153" t="str">
        <f ca="1">IFERROR(INDEX('入力表（利用申込のない夜間閉館）'!B$44:B$74,'様式１（区への申請用）'!J75,1),"")</f>
        <v/>
      </c>
      <c r="E75" s="154"/>
      <c r="F75" s="112"/>
      <c r="H75" s="123">
        <v>24</v>
      </c>
      <c r="I75" s="123">
        <f t="shared" ca="1" si="2"/>
        <v>1</v>
      </c>
      <c r="J75" s="123">
        <f t="shared" ca="1" si="3"/>
        <v>47</v>
      </c>
    </row>
    <row r="76" spans="1:10">
      <c r="A76" s="112"/>
      <c r="B76" s="121"/>
      <c r="C76" s="127"/>
      <c r="D76" s="153" t="str">
        <f ca="1">IFERROR(INDEX('入力表（利用申込のない夜間閉館）'!B$44:B$74,'様式１（区への申請用）'!J76,1),"")</f>
        <v/>
      </c>
      <c r="E76" s="154"/>
      <c r="F76" s="112"/>
      <c r="H76" s="123">
        <v>25</v>
      </c>
      <c r="I76" s="123">
        <f t="shared" ca="1" si="2"/>
        <v>1</v>
      </c>
      <c r="J76" s="123">
        <f t="shared" ca="1" si="3"/>
        <v>48</v>
      </c>
    </row>
    <row r="77" spans="1:10">
      <c r="A77" s="112"/>
      <c r="B77" s="121"/>
      <c r="C77" s="127"/>
      <c r="D77" s="153" t="str">
        <f ca="1">IFERROR(INDEX('入力表（利用申込のない夜間閉館）'!B$44:B$74,'様式１（区への申請用）'!J77,1),"")</f>
        <v/>
      </c>
      <c r="E77" s="154"/>
      <c r="F77" s="112"/>
      <c r="H77" s="123">
        <v>26</v>
      </c>
      <c r="I77" s="123">
        <f t="shared" ca="1" si="2"/>
        <v>1</v>
      </c>
      <c r="J77" s="123">
        <f t="shared" ca="1" si="3"/>
        <v>49</v>
      </c>
    </row>
    <row r="78" spans="1:10">
      <c r="A78" s="112"/>
      <c r="B78" s="128"/>
      <c r="C78" s="129"/>
      <c r="D78" s="153" t="str">
        <f ca="1">IFERROR(INDEX('入力表（利用申込のない夜間閉館）'!B$44:B$74,'様式１（区への申請用）'!J78,1),"")</f>
        <v/>
      </c>
      <c r="E78" s="154"/>
      <c r="F78" s="112"/>
      <c r="H78" s="123">
        <v>27</v>
      </c>
      <c r="I78" s="123">
        <f t="shared" ca="1" si="2"/>
        <v>1</v>
      </c>
      <c r="J78" s="123">
        <f t="shared" ca="1" si="3"/>
        <v>50</v>
      </c>
    </row>
    <row r="79" spans="1:10">
      <c r="A79" s="113"/>
      <c r="B79" s="112"/>
      <c r="C79" s="112"/>
      <c r="D79" s="112"/>
      <c r="E79" s="112"/>
      <c r="F79" s="112"/>
      <c r="H79" s="123">
        <v>28</v>
      </c>
      <c r="I79" s="123">
        <f t="shared" ca="1" si="2"/>
        <v>1</v>
      </c>
      <c r="J79" s="123">
        <f t="shared" ca="1" si="3"/>
        <v>51</v>
      </c>
    </row>
    <row r="80" spans="1:10">
      <c r="A80" s="112"/>
      <c r="B80" s="130"/>
      <c r="C80" s="130"/>
      <c r="D80" s="112"/>
      <c r="E80" s="112"/>
      <c r="F80" s="130"/>
      <c r="H80" s="123">
        <v>29</v>
      </c>
      <c r="I80" s="123">
        <f t="shared" ca="1" si="2"/>
        <v>1</v>
      </c>
      <c r="J80" s="123">
        <f t="shared" ca="1" si="3"/>
        <v>52</v>
      </c>
    </row>
    <row r="81" spans="1:15">
      <c r="A81" s="130" t="str">
        <f>A40</f>
        <v>・原則として、１月分まとめて提出してください。</v>
      </c>
      <c r="B81" s="112"/>
      <c r="C81" s="112"/>
      <c r="D81" s="112"/>
      <c r="E81" s="112"/>
      <c r="F81" s="112"/>
      <c r="H81" s="123">
        <v>30</v>
      </c>
      <c r="I81" s="123">
        <f t="shared" ca="1" si="2"/>
        <v>1</v>
      </c>
      <c r="J81" s="123">
        <f t="shared" ca="1" si="3"/>
        <v>53</v>
      </c>
    </row>
    <row r="82" spans="1:15">
      <c r="A82" s="131"/>
      <c r="B82" s="112"/>
      <c r="C82" s="112"/>
      <c r="D82" s="112"/>
      <c r="E82" s="112"/>
      <c r="F82" s="112"/>
      <c r="H82" s="123">
        <v>31</v>
      </c>
      <c r="I82" s="123">
        <f t="shared" ca="1" si="2"/>
        <v>1</v>
      </c>
      <c r="J82" s="123">
        <f t="shared" ca="1" si="3"/>
        <v>54</v>
      </c>
    </row>
    <row r="83" spans="1:15">
      <c r="A83" s="109" t="str">
        <f>$A$1</f>
        <v>様式１（第２条第２項第２号）</v>
      </c>
      <c r="B83" s="109"/>
      <c r="C83" s="109"/>
      <c r="D83" s="109"/>
      <c r="E83" s="109"/>
      <c r="F83" s="109"/>
    </row>
    <row r="84" spans="1:15" ht="10.5" customHeight="1">
      <c r="A84" s="110"/>
    </row>
    <row r="85" spans="1:15">
      <c r="A85" s="157" t="str">
        <f>$A$3</f>
        <v>夜間閉館申請書</v>
      </c>
      <c r="B85" s="157"/>
      <c r="C85" s="157"/>
      <c r="D85" s="157"/>
      <c r="E85" s="157"/>
      <c r="F85" s="157"/>
    </row>
    <row r="86" spans="1:15">
      <c r="A86" s="111"/>
      <c r="B86" s="112"/>
      <c r="C86" s="112"/>
      <c r="D86" s="112"/>
      <c r="E86" s="112"/>
      <c r="F86" s="135" t="s">
        <v>106</v>
      </c>
    </row>
    <row r="87" spans="1:15">
      <c r="A87" s="113" t="str">
        <f>$A$5</f>
        <v>（申請先）</v>
      </c>
      <c r="B87" s="112"/>
      <c r="C87" s="112"/>
      <c r="D87" s="112"/>
      <c r="E87" s="112"/>
      <c r="F87" s="112"/>
    </row>
    <row r="88" spans="1:15">
      <c r="A88" s="114" t="str">
        <f>A6</f>
        <v>磯子</v>
      </c>
      <c r="B88" s="112" t="s">
        <v>82</v>
      </c>
      <c r="C88" s="112"/>
      <c r="D88" s="112"/>
      <c r="E88" s="112"/>
      <c r="F88" s="112"/>
    </row>
    <row r="89" spans="1:15">
      <c r="A89" s="112"/>
      <c r="B89" s="112"/>
      <c r="C89" s="112"/>
      <c r="D89" s="112"/>
      <c r="E89" s="132" t="str">
        <f>E7</f>
        <v>洋光台</v>
      </c>
      <c r="F89" s="112" t="s">
        <v>83</v>
      </c>
    </row>
    <row r="90" spans="1:15" ht="12.75" customHeight="1">
      <c r="A90" s="113"/>
      <c r="B90" s="112"/>
      <c r="C90" s="112"/>
      <c r="D90" s="112"/>
      <c r="E90" s="112"/>
      <c r="F90" s="112"/>
      <c r="H90">
        <f>H49+$J$8</f>
        <v>82</v>
      </c>
    </row>
    <row r="91" spans="1:15" ht="57.75" customHeight="1" thickBot="1">
      <c r="A91" s="158" t="str">
        <f>A50</f>
        <v>　月曜日から土曜日の午後６時から午後９時（以下「夜間」という。）の施設利用の申込について、横浜市地域ケアプラザ施設使用及び目的外使用に関する要綱（以下「施設使用要綱」という。）第７条及び第８条に定める手続きが行われていない日のうち、次の日の夜間閉館を申請します。</v>
      </c>
      <c r="B91" s="158"/>
      <c r="C91" s="158"/>
      <c r="D91" s="158"/>
      <c r="E91" s="158"/>
      <c r="F91" s="158"/>
      <c r="H91">
        <f>H50+$J$8</f>
        <v>112</v>
      </c>
    </row>
    <row r="92" spans="1:15" s="115" customFormat="1" ht="19.5" thickBot="1">
      <c r="A92" s="116"/>
      <c r="B92" s="159" t="str">
        <f>B51</f>
        <v>年月</v>
      </c>
      <c r="C92" s="160"/>
      <c r="D92" s="117" t="str">
        <f>D51</f>
        <v>日</v>
      </c>
      <c r="E92" s="118" t="str">
        <f>E51</f>
        <v>（曜日）</v>
      </c>
      <c r="F92" s="116"/>
      <c r="H92" s="119" t="s">
        <v>65</v>
      </c>
      <c r="I92" s="120" t="s">
        <v>63</v>
      </c>
      <c r="J92" s="120" t="s">
        <v>64</v>
      </c>
    </row>
    <row r="93" spans="1:15">
      <c r="A93" s="112"/>
      <c r="B93" s="121" t="str">
        <f>$B$11</f>
        <v>令和７年</v>
      </c>
      <c r="C93" s="122" t="s">
        <v>67</v>
      </c>
      <c r="D93" s="155">
        <f>IFERROR(INDEX('入力表（利用申込のない夜間閉館）'!B$82:B$112,'様式１（区への申請用）'!J93,1),"")</f>
        <v>45810</v>
      </c>
      <c r="E93" s="156"/>
      <c r="F93" s="112"/>
      <c r="H93" s="123">
        <v>1</v>
      </c>
      <c r="I93" s="124">
        <f>MATCH("利用申込のない夜間閉館",'入力表（利用申込のない夜間閉館）'!E82:E112,0)</f>
        <v>2</v>
      </c>
      <c r="J93" s="124">
        <f>I93</f>
        <v>2</v>
      </c>
      <c r="L93" s="115"/>
      <c r="M93" s="115"/>
      <c r="O93" s="125"/>
    </row>
    <row r="94" spans="1:15">
      <c r="A94" s="112"/>
      <c r="B94" s="126">
        <f>$B$12</f>
        <v>2025</v>
      </c>
      <c r="C94" s="122"/>
      <c r="D94" s="153">
        <f ca="1">IFERROR(INDEX('入力表（利用申込のない夜間閉館）'!B$82:B$112,'様式１（区への申請用）'!J94,1),"")</f>
        <v>45811</v>
      </c>
      <c r="E94" s="154"/>
      <c r="F94" s="112"/>
      <c r="H94" s="123">
        <v>2</v>
      </c>
      <c r="I94" s="123">
        <f ca="1">MATCH("利用申込のない夜間閉館",INDIRECT("'入力表（利用申込のない夜間閉館）'!E"&amp;82+J93&amp;":e112"),0)</f>
        <v>1</v>
      </c>
      <c r="J94" s="123">
        <f ca="1">SUM(I93+I94)</f>
        <v>3</v>
      </c>
      <c r="O94" s="125"/>
    </row>
    <row r="95" spans="1:15">
      <c r="A95" s="112"/>
      <c r="B95" s="121"/>
      <c r="C95" s="122"/>
      <c r="D95" s="153">
        <f ca="1">IFERROR(INDEX('入力表（利用申込のない夜間閉館）'!B$82:B$112,'様式１（区への申請用）'!J95,1),"")</f>
        <v>45813</v>
      </c>
      <c r="E95" s="154"/>
      <c r="F95" s="112"/>
      <c r="H95" s="123">
        <v>3</v>
      </c>
      <c r="I95" s="123">
        <f t="shared" ref="I95:I123" ca="1" si="4">MATCH("利用申込のない夜間閉館",INDIRECT("'入力表（利用申込のない夜間閉館）'!E"&amp;82+J94&amp;":e112"),0)</f>
        <v>2</v>
      </c>
      <c r="J95" s="123">
        <f ca="1">SUM(J94+I95)</f>
        <v>5</v>
      </c>
      <c r="O95" s="125"/>
    </row>
    <row r="96" spans="1:15">
      <c r="A96" s="112"/>
      <c r="B96" s="121"/>
      <c r="C96" s="127"/>
      <c r="D96" s="153">
        <f ca="1">IFERROR(INDEX('入力表（利用申込のない夜間閉館）'!B$82:B$112,'様式１（区への申請用）'!J96,1),"")</f>
        <v>45815</v>
      </c>
      <c r="E96" s="154"/>
      <c r="F96" s="112"/>
      <c r="H96" s="123">
        <v>4</v>
      </c>
      <c r="I96" s="123">
        <f t="shared" ca="1" si="4"/>
        <v>2</v>
      </c>
      <c r="J96" s="123">
        <f ca="1">SUM(J95+I96)</f>
        <v>7</v>
      </c>
      <c r="O96" s="125"/>
    </row>
    <row r="97" spans="1:15">
      <c r="A97" s="112"/>
      <c r="B97" s="121"/>
      <c r="C97" s="127"/>
      <c r="D97" s="153">
        <f ca="1">IFERROR(INDEX('入力表（利用申込のない夜間閉館）'!B$82:B$112,'様式１（区への申請用）'!J97,1),"")</f>
        <v>45817</v>
      </c>
      <c r="E97" s="154"/>
      <c r="F97" s="112"/>
      <c r="H97" s="123">
        <v>5</v>
      </c>
      <c r="I97" s="123">
        <f t="shared" ca="1" si="4"/>
        <v>2</v>
      </c>
      <c r="J97" s="123">
        <f t="shared" ref="J97:J123" ca="1" si="5">SUM(J96+I97)</f>
        <v>9</v>
      </c>
      <c r="O97" s="125"/>
    </row>
    <row r="98" spans="1:15">
      <c r="A98" s="112"/>
      <c r="B98" s="121"/>
      <c r="C98" s="127"/>
      <c r="D98" s="153">
        <f ca="1">IFERROR(INDEX('入力表（利用申込のない夜間閉館）'!B$82:B$112,'様式１（区への申請用）'!J98,1),"")</f>
        <v>45820</v>
      </c>
      <c r="E98" s="154"/>
      <c r="F98" s="112"/>
      <c r="H98" s="123">
        <v>6</v>
      </c>
      <c r="I98" s="123">
        <f t="shared" ca="1" si="4"/>
        <v>3</v>
      </c>
      <c r="J98" s="123">
        <f t="shared" ca="1" si="5"/>
        <v>12</v>
      </c>
      <c r="O98" s="125"/>
    </row>
    <row r="99" spans="1:15">
      <c r="A99" s="112"/>
      <c r="B99" s="121"/>
      <c r="C99" s="127"/>
      <c r="D99" s="153">
        <f ca="1">IFERROR(INDEX('入力表（利用申込のない夜間閉館）'!B$82:B$112,'様式１（区への申請用）'!J99,1),"")</f>
        <v>45825</v>
      </c>
      <c r="E99" s="154"/>
      <c r="F99" s="112"/>
      <c r="H99" s="123">
        <v>7</v>
      </c>
      <c r="I99" s="123">
        <f t="shared" ca="1" si="4"/>
        <v>5</v>
      </c>
      <c r="J99" s="123">
        <f t="shared" ca="1" si="5"/>
        <v>17</v>
      </c>
      <c r="O99" s="125"/>
    </row>
    <row r="100" spans="1:15">
      <c r="A100" s="112"/>
      <c r="B100" s="121"/>
      <c r="C100" s="127"/>
      <c r="D100" s="153">
        <f ca="1">IFERROR(INDEX('入力表（利用申込のない夜間閉館）'!B$82:B$112,'様式１（区への申請用）'!J100,1),"")</f>
        <v>45831</v>
      </c>
      <c r="E100" s="154"/>
      <c r="F100" s="112"/>
      <c r="H100" s="123">
        <v>8</v>
      </c>
      <c r="I100" s="123">
        <f t="shared" ca="1" si="4"/>
        <v>6</v>
      </c>
      <c r="J100" s="123">
        <f t="shared" ca="1" si="5"/>
        <v>23</v>
      </c>
    </row>
    <row r="101" spans="1:15">
      <c r="A101" s="112"/>
      <c r="B101" s="121"/>
      <c r="C101" s="127"/>
      <c r="D101" s="153">
        <f ca="1">IFERROR(INDEX('入力表（利用申込のない夜間閉館）'!B$82:B$112,'様式１（区への申請用）'!J101,1),"")</f>
        <v>45834</v>
      </c>
      <c r="E101" s="154"/>
      <c r="F101" s="112"/>
      <c r="H101" s="123">
        <v>9</v>
      </c>
      <c r="I101" s="123">
        <f t="shared" ca="1" si="4"/>
        <v>3</v>
      </c>
      <c r="J101" s="123">
        <f t="shared" ca="1" si="5"/>
        <v>26</v>
      </c>
    </row>
    <row r="102" spans="1:15">
      <c r="A102" s="112"/>
      <c r="B102" s="121"/>
      <c r="C102" s="127"/>
      <c r="D102" s="153">
        <f ca="1">IFERROR(INDEX('入力表（利用申込のない夜間閉館）'!B$82:B$112,'様式１（区への申請用）'!J102,1),"")</f>
        <v>45836</v>
      </c>
      <c r="E102" s="154"/>
      <c r="F102" s="112"/>
      <c r="H102" s="123">
        <v>10</v>
      </c>
      <c r="I102" s="123">
        <f t="shared" ca="1" si="4"/>
        <v>2</v>
      </c>
      <c r="J102" s="123">
        <f t="shared" ca="1" si="5"/>
        <v>28</v>
      </c>
    </row>
    <row r="103" spans="1:15">
      <c r="A103" s="112"/>
      <c r="B103" s="121"/>
      <c r="C103" s="127"/>
      <c r="D103" s="153" t="str">
        <f ca="1">IFERROR(INDEX('入力表（利用申込のない夜間閉館）'!B$82:B$112,'様式１（区への申請用）'!J103,1),"")</f>
        <v/>
      </c>
      <c r="E103" s="154"/>
      <c r="F103" s="112"/>
      <c r="H103" s="123">
        <v>11</v>
      </c>
      <c r="I103" s="123" t="e">
        <f t="shared" ca="1" si="4"/>
        <v>#N/A</v>
      </c>
      <c r="J103" s="123" t="e">
        <f t="shared" ca="1" si="5"/>
        <v>#N/A</v>
      </c>
    </row>
    <row r="104" spans="1:15">
      <c r="A104" s="112"/>
      <c r="B104" s="121"/>
      <c r="C104" s="127"/>
      <c r="D104" s="153" t="str">
        <f ca="1">IFERROR(INDEX('入力表（利用申込のない夜間閉館）'!B$82:B$112,'様式１（区への申請用）'!J104,1),"")</f>
        <v/>
      </c>
      <c r="E104" s="154"/>
      <c r="F104" s="112"/>
      <c r="H104" s="123">
        <v>12</v>
      </c>
      <c r="I104" s="123" t="e">
        <f t="shared" ca="1" si="4"/>
        <v>#N/A</v>
      </c>
      <c r="J104" s="123" t="e">
        <f t="shared" ca="1" si="5"/>
        <v>#N/A</v>
      </c>
    </row>
    <row r="105" spans="1:15">
      <c r="A105" s="112"/>
      <c r="B105" s="121"/>
      <c r="C105" s="127"/>
      <c r="D105" s="153" t="str">
        <f ca="1">IFERROR(INDEX('入力表（利用申込のない夜間閉館）'!B$82:B$112,'様式１（区への申請用）'!J105,1),"")</f>
        <v/>
      </c>
      <c r="E105" s="154"/>
      <c r="F105" s="112"/>
      <c r="H105" s="123">
        <v>13</v>
      </c>
      <c r="I105" s="123" t="e">
        <f t="shared" ca="1" si="4"/>
        <v>#N/A</v>
      </c>
      <c r="J105" s="123" t="e">
        <f t="shared" ca="1" si="5"/>
        <v>#N/A</v>
      </c>
    </row>
    <row r="106" spans="1:15">
      <c r="A106" s="112"/>
      <c r="B106" s="121"/>
      <c r="C106" s="127"/>
      <c r="D106" s="153" t="str">
        <f ca="1">IFERROR(INDEX('入力表（利用申込のない夜間閉館）'!B$82:B$112,'様式１（区への申請用）'!J106,1),"")</f>
        <v/>
      </c>
      <c r="E106" s="154"/>
      <c r="F106" s="112"/>
      <c r="H106" s="123">
        <v>14</v>
      </c>
      <c r="I106" s="123" t="e">
        <f t="shared" ca="1" si="4"/>
        <v>#N/A</v>
      </c>
      <c r="J106" s="123" t="e">
        <f t="shared" ca="1" si="5"/>
        <v>#N/A</v>
      </c>
    </row>
    <row r="107" spans="1:15">
      <c r="A107" s="112"/>
      <c r="B107" s="121"/>
      <c r="C107" s="127"/>
      <c r="D107" s="153" t="str">
        <f ca="1">IFERROR(INDEX('入力表（利用申込のない夜間閉館）'!B$82:B$112,'様式１（区への申請用）'!J107,1),"")</f>
        <v/>
      </c>
      <c r="E107" s="154"/>
      <c r="F107" s="112"/>
      <c r="H107" s="123">
        <v>15</v>
      </c>
      <c r="I107" s="123" t="e">
        <f t="shared" ca="1" si="4"/>
        <v>#N/A</v>
      </c>
      <c r="J107" s="123" t="e">
        <f t="shared" ca="1" si="5"/>
        <v>#N/A</v>
      </c>
    </row>
    <row r="108" spans="1:15">
      <c r="A108" s="112"/>
      <c r="B108" s="121"/>
      <c r="C108" s="127"/>
      <c r="D108" s="153" t="str">
        <f ca="1">IFERROR(INDEX('入力表（利用申込のない夜間閉館）'!B$82:B$112,'様式１（区への申請用）'!J108,1),"")</f>
        <v/>
      </c>
      <c r="E108" s="154"/>
      <c r="F108" s="112"/>
      <c r="H108" s="123">
        <v>16</v>
      </c>
      <c r="I108" s="123" t="e">
        <f t="shared" ca="1" si="4"/>
        <v>#N/A</v>
      </c>
      <c r="J108" s="123" t="e">
        <f t="shared" ca="1" si="5"/>
        <v>#N/A</v>
      </c>
    </row>
    <row r="109" spans="1:15">
      <c r="A109" s="112"/>
      <c r="B109" s="121"/>
      <c r="C109" s="127"/>
      <c r="D109" s="153" t="str">
        <f ca="1">IFERROR(INDEX('入力表（利用申込のない夜間閉館）'!B$82:B$112,'様式１（区への申請用）'!J109,1),"")</f>
        <v/>
      </c>
      <c r="E109" s="154"/>
      <c r="F109" s="112"/>
      <c r="H109" s="123">
        <v>17</v>
      </c>
      <c r="I109" s="123" t="e">
        <f t="shared" ca="1" si="4"/>
        <v>#N/A</v>
      </c>
      <c r="J109" s="123" t="e">
        <f t="shared" ca="1" si="5"/>
        <v>#N/A</v>
      </c>
    </row>
    <row r="110" spans="1:15">
      <c r="A110" s="112"/>
      <c r="B110" s="121"/>
      <c r="C110" s="127"/>
      <c r="D110" s="153" t="str">
        <f ca="1">IFERROR(INDEX('入力表（利用申込のない夜間閉館）'!B$82:B$112,'様式１（区への申請用）'!J110,1),"")</f>
        <v/>
      </c>
      <c r="E110" s="154"/>
      <c r="F110" s="112"/>
      <c r="H110" s="123">
        <v>18</v>
      </c>
      <c r="I110" s="123" t="e">
        <f t="shared" ca="1" si="4"/>
        <v>#N/A</v>
      </c>
      <c r="J110" s="123" t="e">
        <f t="shared" ca="1" si="5"/>
        <v>#N/A</v>
      </c>
    </row>
    <row r="111" spans="1:15">
      <c r="A111" s="112"/>
      <c r="B111" s="121"/>
      <c r="C111" s="127"/>
      <c r="D111" s="153" t="str">
        <f ca="1">IFERROR(INDEX('入力表（利用申込のない夜間閉館）'!B$82:B$112,'様式１（区への申請用）'!J111,1),"")</f>
        <v/>
      </c>
      <c r="E111" s="154"/>
      <c r="F111" s="112"/>
      <c r="H111" s="123">
        <v>19</v>
      </c>
      <c r="I111" s="123" t="e">
        <f t="shared" ca="1" si="4"/>
        <v>#N/A</v>
      </c>
      <c r="J111" s="123" t="e">
        <f t="shared" ca="1" si="5"/>
        <v>#N/A</v>
      </c>
    </row>
    <row r="112" spans="1:15">
      <c r="A112" s="112"/>
      <c r="B112" s="121"/>
      <c r="C112" s="127"/>
      <c r="D112" s="153" t="str">
        <f ca="1">IFERROR(INDEX('入力表（利用申込のない夜間閉館）'!B$82:B$112,'様式１（区への申請用）'!J112,1),"")</f>
        <v/>
      </c>
      <c r="E112" s="154"/>
      <c r="F112" s="112"/>
      <c r="H112" s="123">
        <v>20</v>
      </c>
      <c r="I112" s="123" t="e">
        <f t="shared" ca="1" si="4"/>
        <v>#N/A</v>
      </c>
      <c r="J112" s="123" t="e">
        <f t="shared" ca="1" si="5"/>
        <v>#N/A</v>
      </c>
    </row>
    <row r="113" spans="1:10">
      <c r="A113" s="112"/>
      <c r="B113" s="121"/>
      <c r="C113" s="127"/>
      <c r="D113" s="153" t="str">
        <f ca="1">IFERROR(INDEX('入力表（利用申込のない夜間閉館）'!B$82:B$112,'様式１（区への申請用）'!J113,1),"")</f>
        <v/>
      </c>
      <c r="E113" s="154"/>
      <c r="F113" s="112"/>
      <c r="H113" s="123">
        <v>21</v>
      </c>
      <c r="I113" s="123" t="e">
        <f t="shared" ca="1" si="4"/>
        <v>#N/A</v>
      </c>
      <c r="J113" s="123" t="e">
        <f t="shared" ca="1" si="5"/>
        <v>#N/A</v>
      </c>
    </row>
    <row r="114" spans="1:10">
      <c r="A114" s="112"/>
      <c r="B114" s="121"/>
      <c r="C114" s="127"/>
      <c r="D114" s="153" t="str">
        <f ca="1">IFERROR(INDEX('入力表（利用申込のない夜間閉館）'!B$82:B$112,'様式１（区への申請用）'!J114,1),"")</f>
        <v/>
      </c>
      <c r="E114" s="154"/>
      <c r="F114" s="112"/>
      <c r="H114" s="123">
        <v>22</v>
      </c>
      <c r="I114" s="123" t="e">
        <f t="shared" ca="1" si="4"/>
        <v>#N/A</v>
      </c>
      <c r="J114" s="123" t="e">
        <f t="shared" ca="1" si="5"/>
        <v>#N/A</v>
      </c>
    </row>
    <row r="115" spans="1:10">
      <c r="A115" s="112"/>
      <c r="B115" s="121"/>
      <c r="C115" s="127"/>
      <c r="D115" s="153" t="str">
        <f ca="1">IFERROR(INDEX('入力表（利用申込のない夜間閉館）'!B$82:B$112,'様式１（区への申請用）'!J115,1),"")</f>
        <v/>
      </c>
      <c r="E115" s="154"/>
      <c r="F115" s="112"/>
      <c r="H115" s="123">
        <v>23</v>
      </c>
      <c r="I115" s="123" t="e">
        <f t="shared" ca="1" si="4"/>
        <v>#N/A</v>
      </c>
      <c r="J115" s="123" t="e">
        <f t="shared" ca="1" si="5"/>
        <v>#N/A</v>
      </c>
    </row>
    <row r="116" spans="1:10">
      <c r="A116" s="112"/>
      <c r="B116" s="121"/>
      <c r="C116" s="127"/>
      <c r="D116" s="153" t="str">
        <f ca="1">IFERROR(INDEX('入力表（利用申込のない夜間閉館）'!B$82:B$112,'様式１（区への申請用）'!J116,1),"")</f>
        <v/>
      </c>
      <c r="E116" s="154"/>
      <c r="F116" s="112"/>
      <c r="H116" s="123">
        <v>24</v>
      </c>
      <c r="I116" s="123" t="e">
        <f t="shared" ca="1" si="4"/>
        <v>#N/A</v>
      </c>
      <c r="J116" s="123" t="e">
        <f t="shared" ca="1" si="5"/>
        <v>#N/A</v>
      </c>
    </row>
    <row r="117" spans="1:10">
      <c r="A117" s="112"/>
      <c r="B117" s="121"/>
      <c r="C117" s="127"/>
      <c r="D117" s="153" t="str">
        <f ca="1">IFERROR(INDEX('入力表（利用申込のない夜間閉館）'!B$82:B$112,'様式１（区への申請用）'!J117,1),"")</f>
        <v/>
      </c>
      <c r="E117" s="154"/>
      <c r="F117" s="112"/>
      <c r="H117" s="123">
        <v>25</v>
      </c>
      <c r="I117" s="123" t="e">
        <f t="shared" ca="1" si="4"/>
        <v>#N/A</v>
      </c>
      <c r="J117" s="123" t="e">
        <f t="shared" ca="1" si="5"/>
        <v>#N/A</v>
      </c>
    </row>
    <row r="118" spans="1:10">
      <c r="A118" s="112"/>
      <c r="B118" s="121"/>
      <c r="C118" s="127"/>
      <c r="D118" s="153" t="str">
        <f ca="1">IFERROR(INDEX('入力表（利用申込のない夜間閉館）'!B$82:B$112,'様式１（区への申請用）'!J118,1),"")</f>
        <v/>
      </c>
      <c r="E118" s="154"/>
      <c r="F118" s="112"/>
      <c r="H118" s="123">
        <v>26</v>
      </c>
      <c r="I118" s="123" t="e">
        <f t="shared" ca="1" si="4"/>
        <v>#N/A</v>
      </c>
      <c r="J118" s="123" t="e">
        <f t="shared" ca="1" si="5"/>
        <v>#N/A</v>
      </c>
    </row>
    <row r="119" spans="1:10">
      <c r="A119" s="112"/>
      <c r="B119" s="128"/>
      <c r="C119" s="129"/>
      <c r="D119" s="153" t="str">
        <f ca="1">IFERROR(INDEX('入力表（利用申込のない夜間閉館）'!B$82:B$112,'様式１（区への申請用）'!J119,1),"")</f>
        <v/>
      </c>
      <c r="E119" s="154"/>
      <c r="F119" s="112"/>
      <c r="H119" s="123">
        <v>27</v>
      </c>
      <c r="I119" s="123" t="e">
        <f t="shared" ca="1" si="4"/>
        <v>#N/A</v>
      </c>
      <c r="J119" s="123" t="e">
        <f t="shared" ca="1" si="5"/>
        <v>#N/A</v>
      </c>
    </row>
    <row r="120" spans="1:10">
      <c r="A120" s="113"/>
      <c r="B120" s="112"/>
      <c r="C120" s="112"/>
      <c r="D120" s="112"/>
      <c r="E120" s="112"/>
      <c r="F120" s="112"/>
      <c r="H120" s="123">
        <v>28</v>
      </c>
      <c r="I120" s="123" t="e">
        <f t="shared" ca="1" si="4"/>
        <v>#N/A</v>
      </c>
      <c r="J120" s="123" t="e">
        <f t="shared" ca="1" si="5"/>
        <v>#N/A</v>
      </c>
    </row>
    <row r="121" spans="1:10">
      <c r="A121" s="112"/>
      <c r="B121" s="130"/>
      <c r="C121" s="130"/>
      <c r="D121" s="112"/>
      <c r="E121" s="112"/>
      <c r="F121" s="130"/>
      <c r="H121" s="123">
        <v>29</v>
      </c>
      <c r="I121" s="123" t="e">
        <f t="shared" ca="1" si="4"/>
        <v>#N/A</v>
      </c>
      <c r="J121" s="123" t="e">
        <f t="shared" ca="1" si="5"/>
        <v>#N/A</v>
      </c>
    </row>
    <row r="122" spans="1:10">
      <c r="A122" s="130" t="str">
        <f>A81</f>
        <v>・原則として、１月分まとめて提出してください。</v>
      </c>
      <c r="B122" s="112"/>
      <c r="C122" s="112"/>
      <c r="D122" s="112"/>
      <c r="E122" s="112"/>
      <c r="F122" s="112"/>
      <c r="H122" s="123">
        <v>30</v>
      </c>
      <c r="I122" s="123" t="e">
        <f t="shared" ca="1" si="4"/>
        <v>#N/A</v>
      </c>
      <c r="J122" s="123" t="e">
        <f t="shared" ca="1" si="5"/>
        <v>#N/A</v>
      </c>
    </row>
    <row r="123" spans="1:10">
      <c r="A123" s="131"/>
      <c r="B123" s="112"/>
      <c r="C123" s="112"/>
      <c r="D123" s="112"/>
      <c r="E123" s="112"/>
      <c r="F123" s="112"/>
      <c r="H123" s="123">
        <v>31</v>
      </c>
      <c r="I123" s="123" t="e">
        <f t="shared" ca="1" si="4"/>
        <v>#N/A</v>
      </c>
      <c r="J123" s="123" t="e">
        <f t="shared" ca="1" si="5"/>
        <v>#N/A</v>
      </c>
    </row>
    <row r="124" spans="1:10">
      <c r="A124" s="109" t="str">
        <f>$A$1</f>
        <v>様式１（第２条第２項第２号）</v>
      </c>
      <c r="B124" s="109"/>
      <c r="C124" s="109"/>
      <c r="D124" s="109"/>
      <c r="E124" s="109"/>
      <c r="F124" s="109"/>
    </row>
    <row r="125" spans="1:10" ht="10.5" customHeight="1">
      <c r="A125" s="110"/>
    </row>
    <row r="126" spans="1:10">
      <c r="A126" s="157" t="str">
        <f>$A$3</f>
        <v>夜間閉館申請書</v>
      </c>
      <c r="B126" s="157"/>
      <c r="C126" s="157"/>
      <c r="D126" s="157"/>
      <c r="E126" s="157"/>
      <c r="F126" s="157"/>
    </row>
    <row r="127" spans="1:10">
      <c r="A127" s="111"/>
      <c r="B127" s="112"/>
      <c r="C127" s="112"/>
      <c r="D127" s="112"/>
      <c r="E127" s="112"/>
      <c r="F127" s="135" t="s">
        <v>107</v>
      </c>
    </row>
    <row r="128" spans="1:10">
      <c r="A128" s="113" t="str">
        <f>$A$5</f>
        <v>（申請先）</v>
      </c>
      <c r="B128" s="112"/>
      <c r="C128" s="112"/>
      <c r="D128" s="112"/>
      <c r="E128" s="112"/>
      <c r="F128" s="112"/>
    </row>
    <row r="129" spans="1:15">
      <c r="A129" s="114" t="str">
        <f>A6</f>
        <v>磯子</v>
      </c>
      <c r="B129" s="112" t="s">
        <v>82</v>
      </c>
      <c r="C129" s="112"/>
      <c r="D129" s="112"/>
      <c r="E129" s="112"/>
      <c r="F129" s="112"/>
    </row>
    <row r="130" spans="1:15">
      <c r="A130" s="112"/>
      <c r="B130" s="112"/>
      <c r="C130" s="112"/>
      <c r="D130" s="112"/>
      <c r="E130" s="132" t="str">
        <f>E7</f>
        <v>洋光台</v>
      </c>
      <c r="F130" s="112" t="s">
        <v>83</v>
      </c>
    </row>
    <row r="131" spans="1:15" ht="12.75" customHeight="1">
      <c r="A131" s="113"/>
      <c r="B131" s="112"/>
      <c r="C131" s="112"/>
      <c r="D131" s="112"/>
      <c r="E131" s="112"/>
      <c r="F131" s="112"/>
      <c r="H131">
        <f>H90+$J$8</f>
        <v>120</v>
      </c>
    </row>
    <row r="132" spans="1:15" ht="57.75" customHeight="1" thickBot="1">
      <c r="A132" s="158" t="str">
        <f>A91</f>
        <v>　月曜日から土曜日の午後６時から午後９時（以下「夜間」という。）の施設利用の申込について、横浜市地域ケアプラザ施設使用及び目的外使用に関する要綱（以下「施設使用要綱」という。）第７条及び第８条に定める手続きが行われていない日のうち、次の日の夜間閉館を申請します。</v>
      </c>
      <c r="B132" s="158"/>
      <c r="C132" s="158"/>
      <c r="D132" s="158"/>
      <c r="E132" s="158"/>
      <c r="F132" s="158"/>
      <c r="H132">
        <f>H91+$J$8</f>
        <v>150</v>
      </c>
    </row>
    <row r="133" spans="1:15" s="115" customFormat="1" ht="19.5" thickBot="1">
      <c r="A133" s="116"/>
      <c r="B133" s="159" t="str">
        <f>B92</f>
        <v>年月</v>
      </c>
      <c r="C133" s="160"/>
      <c r="D133" s="117" t="str">
        <f>D92</f>
        <v>日</v>
      </c>
      <c r="E133" s="118" t="str">
        <f>E92</f>
        <v>（曜日）</v>
      </c>
      <c r="F133" s="116"/>
      <c r="H133" s="119" t="s">
        <v>65</v>
      </c>
      <c r="I133" s="120" t="s">
        <v>63</v>
      </c>
      <c r="J133" s="120" t="s">
        <v>64</v>
      </c>
    </row>
    <row r="134" spans="1:15">
      <c r="A134" s="112"/>
      <c r="B134" s="121" t="str">
        <f>$B$11</f>
        <v>令和７年</v>
      </c>
      <c r="C134" s="122" t="s">
        <v>68</v>
      </c>
      <c r="D134" s="155">
        <f>IFERROR(INDEX('入力表（利用申込のない夜間閉館）'!B$120:B$150,'様式１（区への申請用）'!J134,1),"")</f>
        <v>45839</v>
      </c>
      <c r="E134" s="156"/>
      <c r="F134" s="112"/>
      <c r="H134" s="123">
        <v>1</v>
      </c>
      <c r="I134" s="124">
        <f>MATCH("利用申込のない夜間閉館",'入力表（利用申込のない夜間閉館）'!E120:E150,0)</f>
        <v>1</v>
      </c>
      <c r="J134" s="124">
        <f>I134</f>
        <v>1</v>
      </c>
      <c r="L134" s="115"/>
      <c r="M134" s="115"/>
      <c r="O134" s="125"/>
    </row>
    <row r="135" spans="1:15">
      <c r="A135" s="112"/>
      <c r="B135" s="126">
        <f>$B$12</f>
        <v>2025</v>
      </c>
      <c r="C135" s="122"/>
      <c r="D135" s="153">
        <f ca="1">IFERROR(INDEX('入力表（利用申込のない夜間閉館）'!B$120:B$150,'様式１（区への申請用）'!J135,1),"")</f>
        <v>45841</v>
      </c>
      <c r="E135" s="154"/>
      <c r="F135" s="112"/>
      <c r="H135" s="123">
        <v>2</v>
      </c>
      <c r="I135" s="123">
        <f ca="1">MATCH("利用申込のない夜間閉館",INDIRECT("'入力表（利用申込のない夜間閉館）'!E"&amp;120+J134&amp;":e150"),0)</f>
        <v>2</v>
      </c>
      <c r="J135" s="123">
        <f ca="1">SUM(I134+I135)</f>
        <v>3</v>
      </c>
      <c r="O135" s="125"/>
    </row>
    <row r="136" spans="1:15">
      <c r="A136" s="112"/>
      <c r="B136" s="121"/>
      <c r="C136" s="122"/>
      <c r="D136" s="153">
        <f ca="1">IFERROR(INDEX('入力表（利用申込のない夜間閉館）'!B$120:B$150,'様式１（区への申請用）'!J136,1),"")</f>
        <v>45845</v>
      </c>
      <c r="E136" s="154"/>
      <c r="F136" s="112"/>
      <c r="H136" s="123">
        <v>3</v>
      </c>
      <c r="I136" s="123">
        <f t="shared" ref="I136:I164" ca="1" si="6">MATCH("利用申込のない夜間閉館",INDIRECT("'入力表（利用申込のない夜間閉館）'!E"&amp;120+J135&amp;":e150"),0)</f>
        <v>4</v>
      </c>
      <c r="J136" s="123">
        <f ca="1">SUM(J135+I136)</f>
        <v>7</v>
      </c>
      <c r="O136" s="125"/>
    </row>
    <row r="137" spans="1:15">
      <c r="A137" s="112"/>
      <c r="B137" s="121"/>
      <c r="C137" s="127"/>
      <c r="D137" s="153">
        <f ca="1">IFERROR(INDEX('入力表（利用申込のない夜間閉館）'!B$120:B$150,'様式１（区への申請用）'!J137,1),"")</f>
        <v>45848</v>
      </c>
      <c r="E137" s="154"/>
      <c r="F137" s="112"/>
      <c r="H137" s="123">
        <v>4</v>
      </c>
      <c r="I137" s="123">
        <f t="shared" ca="1" si="6"/>
        <v>3</v>
      </c>
      <c r="J137" s="123">
        <f t="shared" ref="J137:J164" ca="1" si="7">SUM(J136+I137)</f>
        <v>10</v>
      </c>
      <c r="O137" s="125"/>
    </row>
    <row r="138" spans="1:15">
      <c r="A138" s="112"/>
      <c r="B138" s="121"/>
      <c r="C138" s="127"/>
      <c r="D138" s="153">
        <f ca="1">IFERROR(INDEX('入力表（利用申込のない夜間閉館）'!B$120:B$150,'様式１（区への申請用）'!J138,1),"")</f>
        <v>45852</v>
      </c>
      <c r="E138" s="154"/>
      <c r="F138" s="112"/>
      <c r="H138" s="123">
        <v>5</v>
      </c>
      <c r="I138" s="123">
        <f t="shared" ca="1" si="6"/>
        <v>4</v>
      </c>
      <c r="J138" s="123">
        <f t="shared" ca="1" si="7"/>
        <v>14</v>
      </c>
      <c r="O138" s="125"/>
    </row>
    <row r="139" spans="1:15">
      <c r="A139" s="112"/>
      <c r="B139" s="121"/>
      <c r="C139" s="127"/>
      <c r="D139" s="153">
        <f ca="1">IFERROR(INDEX('入力表（利用申込のない夜間閉館）'!B$120:B$150,'様式１（区への申請用）'!J139,1),"")</f>
        <v>45853</v>
      </c>
      <c r="E139" s="154"/>
      <c r="F139" s="112"/>
      <c r="H139" s="123">
        <v>6</v>
      </c>
      <c r="I139" s="123">
        <f t="shared" ca="1" si="6"/>
        <v>1</v>
      </c>
      <c r="J139" s="123">
        <f t="shared" ca="1" si="7"/>
        <v>15</v>
      </c>
      <c r="O139" s="125"/>
    </row>
    <row r="140" spans="1:15">
      <c r="A140" s="112"/>
      <c r="B140" s="121"/>
      <c r="C140" s="127"/>
      <c r="D140" s="153">
        <f ca="1">IFERROR(INDEX('入力表（利用申込のない夜間閉館）'!B$120:B$150,'様式１（区への申請用）'!J140,1),"")</f>
        <v>45855</v>
      </c>
      <c r="E140" s="154"/>
      <c r="F140" s="112"/>
      <c r="H140" s="123">
        <v>7</v>
      </c>
      <c r="I140" s="123">
        <f t="shared" ca="1" si="6"/>
        <v>2</v>
      </c>
      <c r="J140" s="123">
        <f t="shared" ca="1" si="7"/>
        <v>17</v>
      </c>
      <c r="O140" s="125"/>
    </row>
    <row r="141" spans="1:15">
      <c r="A141" s="112"/>
      <c r="B141" s="121"/>
      <c r="C141" s="127"/>
      <c r="D141" s="153">
        <f ca="1">IFERROR(INDEX('入力表（利用申込のない夜間閉館）'!B$120:B$150,'様式１（区への申請用）'!J141,1),"")</f>
        <v>45867</v>
      </c>
      <c r="E141" s="154"/>
      <c r="F141" s="112"/>
      <c r="H141" s="123">
        <v>8</v>
      </c>
      <c r="I141" s="123">
        <f t="shared" ca="1" si="6"/>
        <v>12</v>
      </c>
      <c r="J141" s="123">
        <f t="shared" ca="1" si="7"/>
        <v>29</v>
      </c>
    </row>
    <row r="142" spans="1:15">
      <c r="A142" s="112"/>
      <c r="B142" s="121"/>
      <c r="C142" s="127"/>
      <c r="D142" s="153">
        <f ca="1">IFERROR(INDEX('入力表（利用申込のない夜間閉館）'!B$120:B$150,'様式１（区への申請用）'!J142,1),"")</f>
        <v>45869</v>
      </c>
      <c r="E142" s="154"/>
      <c r="F142" s="112"/>
      <c r="H142" s="123">
        <v>9</v>
      </c>
      <c r="I142" s="123">
        <f t="shared" ca="1" si="6"/>
        <v>2</v>
      </c>
      <c r="J142" s="123">
        <f t="shared" ca="1" si="7"/>
        <v>31</v>
      </c>
    </row>
    <row r="143" spans="1:15">
      <c r="A143" s="112"/>
      <c r="B143" s="121"/>
      <c r="C143" s="127"/>
      <c r="D143" s="153" t="str">
        <f ca="1">IFERROR(INDEX('入力表（利用申込のない夜間閉館）'!B$120:B$150,'様式１（区への申請用）'!J143,1),"")</f>
        <v/>
      </c>
      <c r="E143" s="154"/>
      <c r="F143" s="112"/>
      <c r="H143" s="123">
        <v>10</v>
      </c>
      <c r="I143" s="123">
        <f t="shared" ca="1" si="6"/>
        <v>1</v>
      </c>
      <c r="J143" s="123">
        <f t="shared" ca="1" si="7"/>
        <v>32</v>
      </c>
    </row>
    <row r="144" spans="1:15">
      <c r="A144" s="112"/>
      <c r="B144" s="121"/>
      <c r="C144" s="127"/>
      <c r="D144" s="153" t="str">
        <f ca="1">IFERROR(INDEX('入力表（利用申込のない夜間閉館）'!B$120:B$150,'様式１（区への申請用）'!J144,1),"")</f>
        <v/>
      </c>
      <c r="E144" s="154"/>
      <c r="F144" s="112"/>
      <c r="H144" s="123">
        <v>11</v>
      </c>
      <c r="I144" s="123">
        <f t="shared" ca="1" si="6"/>
        <v>1</v>
      </c>
      <c r="J144" s="123">
        <f t="shared" ca="1" si="7"/>
        <v>33</v>
      </c>
    </row>
    <row r="145" spans="1:10">
      <c r="A145" s="112"/>
      <c r="B145" s="121"/>
      <c r="C145" s="127"/>
      <c r="D145" s="153" t="str">
        <f ca="1">IFERROR(INDEX('入力表（利用申込のない夜間閉館）'!B$120:B$150,'様式１（区への申請用）'!J145,1),"")</f>
        <v/>
      </c>
      <c r="E145" s="154"/>
      <c r="F145" s="112"/>
      <c r="H145" s="123">
        <v>12</v>
      </c>
      <c r="I145" s="123">
        <f t="shared" ca="1" si="6"/>
        <v>1</v>
      </c>
      <c r="J145" s="123">
        <f t="shared" ca="1" si="7"/>
        <v>34</v>
      </c>
    </row>
    <row r="146" spans="1:10">
      <c r="A146" s="112"/>
      <c r="B146" s="121"/>
      <c r="C146" s="127"/>
      <c r="D146" s="153" t="str">
        <f ca="1">IFERROR(INDEX('入力表（利用申込のない夜間閉館）'!B$120:B$150,'様式１（区への申請用）'!J146,1),"")</f>
        <v/>
      </c>
      <c r="E146" s="154"/>
      <c r="F146" s="112"/>
      <c r="H146" s="123">
        <v>13</v>
      </c>
      <c r="I146" s="123">
        <f t="shared" ca="1" si="6"/>
        <v>1</v>
      </c>
      <c r="J146" s="123">
        <f t="shared" ca="1" si="7"/>
        <v>35</v>
      </c>
    </row>
    <row r="147" spans="1:10">
      <c r="A147" s="112"/>
      <c r="B147" s="121"/>
      <c r="C147" s="127"/>
      <c r="D147" s="153" t="str">
        <f ca="1">IFERROR(INDEX('入力表（利用申込のない夜間閉館）'!B$120:B$150,'様式１（区への申請用）'!J147,1),"")</f>
        <v/>
      </c>
      <c r="E147" s="154"/>
      <c r="F147" s="112"/>
      <c r="H147" s="123">
        <v>14</v>
      </c>
      <c r="I147" s="123">
        <f t="shared" ca="1" si="6"/>
        <v>1</v>
      </c>
      <c r="J147" s="123">
        <f t="shared" ca="1" si="7"/>
        <v>36</v>
      </c>
    </row>
    <row r="148" spans="1:10">
      <c r="A148" s="112"/>
      <c r="B148" s="121"/>
      <c r="C148" s="127"/>
      <c r="D148" s="153" t="str">
        <f ca="1">IFERROR(INDEX('入力表（利用申込のない夜間閉館）'!B$120:B$150,'様式１（区への申請用）'!J148,1),"")</f>
        <v/>
      </c>
      <c r="E148" s="154"/>
      <c r="F148" s="112"/>
      <c r="H148" s="123">
        <v>15</v>
      </c>
      <c r="I148" s="123">
        <f t="shared" ca="1" si="6"/>
        <v>1</v>
      </c>
      <c r="J148" s="123">
        <f t="shared" ca="1" si="7"/>
        <v>37</v>
      </c>
    </row>
    <row r="149" spans="1:10">
      <c r="A149" s="112"/>
      <c r="B149" s="121"/>
      <c r="C149" s="127"/>
      <c r="D149" s="153" t="str">
        <f ca="1">IFERROR(INDEX('入力表（利用申込のない夜間閉館）'!B$120:B$150,'様式１（区への申請用）'!J149,1),"")</f>
        <v/>
      </c>
      <c r="E149" s="154"/>
      <c r="F149" s="112"/>
      <c r="H149" s="123">
        <v>16</v>
      </c>
      <c r="I149" s="123">
        <f t="shared" ca="1" si="6"/>
        <v>1</v>
      </c>
      <c r="J149" s="123">
        <f t="shared" ca="1" si="7"/>
        <v>38</v>
      </c>
    </row>
    <row r="150" spans="1:10">
      <c r="A150" s="112"/>
      <c r="B150" s="121"/>
      <c r="C150" s="127"/>
      <c r="D150" s="153" t="str">
        <f ca="1">IFERROR(INDEX('入力表（利用申込のない夜間閉館）'!B$120:B$150,'様式１（区への申請用）'!J150,1),"")</f>
        <v/>
      </c>
      <c r="E150" s="154"/>
      <c r="F150" s="112"/>
      <c r="H150" s="123">
        <v>17</v>
      </c>
      <c r="I150" s="123">
        <f t="shared" ca="1" si="6"/>
        <v>1</v>
      </c>
      <c r="J150" s="123">
        <f t="shared" ca="1" si="7"/>
        <v>39</v>
      </c>
    </row>
    <row r="151" spans="1:10">
      <c r="A151" s="112"/>
      <c r="B151" s="121"/>
      <c r="C151" s="127"/>
      <c r="D151" s="153" t="str">
        <f ca="1">IFERROR(INDEX('入力表（利用申込のない夜間閉館）'!B$120:B$150,'様式１（区への申請用）'!J151,1),"")</f>
        <v/>
      </c>
      <c r="E151" s="154"/>
      <c r="F151" s="112"/>
      <c r="H151" s="123">
        <v>18</v>
      </c>
      <c r="I151" s="123">
        <f t="shared" ca="1" si="6"/>
        <v>1</v>
      </c>
      <c r="J151" s="123">
        <f t="shared" ca="1" si="7"/>
        <v>40</v>
      </c>
    </row>
    <row r="152" spans="1:10">
      <c r="A152" s="112"/>
      <c r="B152" s="121"/>
      <c r="C152" s="127"/>
      <c r="D152" s="153" t="str">
        <f ca="1">IFERROR(INDEX('入力表（利用申込のない夜間閉館）'!B$120:B$150,'様式１（区への申請用）'!J152,1),"")</f>
        <v/>
      </c>
      <c r="E152" s="154"/>
      <c r="F152" s="112"/>
      <c r="H152" s="123">
        <v>19</v>
      </c>
      <c r="I152" s="123">
        <f t="shared" ca="1" si="6"/>
        <v>1</v>
      </c>
      <c r="J152" s="123">
        <f t="shared" ca="1" si="7"/>
        <v>41</v>
      </c>
    </row>
    <row r="153" spans="1:10">
      <c r="A153" s="112"/>
      <c r="B153" s="121"/>
      <c r="C153" s="127"/>
      <c r="D153" s="153" t="str">
        <f ca="1">IFERROR(INDEX('入力表（利用申込のない夜間閉館）'!B$120:B$150,'様式１（区への申請用）'!J153,1),"")</f>
        <v/>
      </c>
      <c r="E153" s="154"/>
      <c r="F153" s="112"/>
      <c r="H153" s="123">
        <v>20</v>
      </c>
      <c r="I153" s="123">
        <f t="shared" ca="1" si="6"/>
        <v>1</v>
      </c>
      <c r="J153" s="123">
        <f t="shared" ca="1" si="7"/>
        <v>42</v>
      </c>
    </row>
    <row r="154" spans="1:10">
      <c r="A154" s="112"/>
      <c r="B154" s="121"/>
      <c r="C154" s="127"/>
      <c r="D154" s="153" t="str">
        <f ca="1">IFERROR(INDEX('入力表（利用申込のない夜間閉館）'!B$120:B$150,'様式１（区への申請用）'!J154,1),"")</f>
        <v/>
      </c>
      <c r="E154" s="154"/>
      <c r="F154" s="112"/>
      <c r="H154" s="123">
        <v>21</v>
      </c>
      <c r="I154" s="123">
        <f t="shared" ca="1" si="6"/>
        <v>1</v>
      </c>
      <c r="J154" s="123">
        <f t="shared" ca="1" si="7"/>
        <v>43</v>
      </c>
    </row>
    <row r="155" spans="1:10">
      <c r="A155" s="112"/>
      <c r="B155" s="121"/>
      <c r="C155" s="127"/>
      <c r="D155" s="153" t="str">
        <f ca="1">IFERROR(INDEX('入力表（利用申込のない夜間閉館）'!B$120:B$150,'様式１（区への申請用）'!J155,1),"")</f>
        <v/>
      </c>
      <c r="E155" s="154"/>
      <c r="F155" s="112"/>
      <c r="H155" s="123">
        <v>22</v>
      </c>
      <c r="I155" s="123">
        <f t="shared" ca="1" si="6"/>
        <v>1</v>
      </c>
      <c r="J155" s="123">
        <f t="shared" ca="1" si="7"/>
        <v>44</v>
      </c>
    </row>
    <row r="156" spans="1:10">
      <c r="A156" s="112"/>
      <c r="B156" s="121"/>
      <c r="C156" s="127"/>
      <c r="D156" s="153" t="str">
        <f ca="1">IFERROR(INDEX('入力表（利用申込のない夜間閉館）'!B$120:B$150,'様式１（区への申請用）'!J156,1),"")</f>
        <v/>
      </c>
      <c r="E156" s="154"/>
      <c r="F156" s="112"/>
      <c r="H156" s="123">
        <v>23</v>
      </c>
      <c r="I156" s="123">
        <f t="shared" ca="1" si="6"/>
        <v>1</v>
      </c>
      <c r="J156" s="123">
        <f t="shared" ca="1" si="7"/>
        <v>45</v>
      </c>
    </row>
    <row r="157" spans="1:10">
      <c r="A157" s="112"/>
      <c r="B157" s="121"/>
      <c r="C157" s="127"/>
      <c r="D157" s="153" t="str">
        <f ca="1">IFERROR(INDEX('入力表（利用申込のない夜間閉館）'!B$120:B$150,'様式１（区への申請用）'!J157,1),"")</f>
        <v/>
      </c>
      <c r="E157" s="154"/>
      <c r="F157" s="112"/>
      <c r="H157" s="123">
        <v>24</v>
      </c>
      <c r="I157" s="123">
        <f t="shared" ca="1" si="6"/>
        <v>1</v>
      </c>
      <c r="J157" s="123">
        <f t="shared" ca="1" si="7"/>
        <v>46</v>
      </c>
    </row>
    <row r="158" spans="1:10">
      <c r="A158" s="112"/>
      <c r="B158" s="121"/>
      <c r="C158" s="127"/>
      <c r="D158" s="153" t="str">
        <f ca="1">IFERROR(INDEX('入力表（利用申込のない夜間閉館）'!B$120:B$150,'様式１（区への申請用）'!J158,1),"")</f>
        <v/>
      </c>
      <c r="E158" s="154"/>
      <c r="F158" s="112"/>
      <c r="H158" s="123">
        <v>25</v>
      </c>
      <c r="I158" s="123">
        <f t="shared" ca="1" si="6"/>
        <v>1</v>
      </c>
      <c r="J158" s="123">
        <f t="shared" ca="1" si="7"/>
        <v>47</v>
      </c>
    </row>
    <row r="159" spans="1:10">
      <c r="A159" s="112"/>
      <c r="B159" s="121"/>
      <c r="C159" s="127"/>
      <c r="D159" s="153" t="str">
        <f ca="1">IFERROR(INDEX('入力表（利用申込のない夜間閉館）'!B$120:B$150,'様式１（区への申請用）'!J159,1),"")</f>
        <v/>
      </c>
      <c r="E159" s="154"/>
      <c r="F159" s="112"/>
      <c r="H159" s="123">
        <v>26</v>
      </c>
      <c r="I159" s="123">
        <f t="shared" ca="1" si="6"/>
        <v>1</v>
      </c>
      <c r="J159" s="123">
        <f t="shared" ca="1" si="7"/>
        <v>48</v>
      </c>
    </row>
    <row r="160" spans="1:10">
      <c r="A160" s="112"/>
      <c r="B160" s="128"/>
      <c r="C160" s="129"/>
      <c r="D160" s="153" t="str">
        <f ca="1">IFERROR(INDEX('入力表（利用申込のない夜間閉館）'!B$120:B$150,'様式１（区への申請用）'!J160,1),"")</f>
        <v/>
      </c>
      <c r="E160" s="154"/>
      <c r="F160" s="112"/>
      <c r="H160" s="123">
        <v>27</v>
      </c>
      <c r="I160" s="123">
        <f t="shared" ca="1" si="6"/>
        <v>1</v>
      </c>
      <c r="J160" s="123">
        <f t="shared" ca="1" si="7"/>
        <v>49</v>
      </c>
    </row>
    <row r="161" spans="1:15">
      <c r="A161" s="113"/>
      <c r="B161" s="112"/>
      <c r="C161" s="112"/>
      <c r="D161" s="112"/>
      <c r="E161" s="112"/>
      <c r="F161" s="112"/>
      <c r="H161" s="123">
        <v>28</v>
      </c>
      <c r="I161" s="123">
        <f t="shared" ca="1" si="6"/>
        <v>1</v>
      </c>
      <c r="J161" s="123">
        <f t="shared" ca="1" si="7"/>
        <v>50</v>
      </c>
    </row>
    <row r="162" spans="1:15">
      <c r="A162" s="112"/>
      <c r="B162" s="130"/>
      <c r="C162" s="130"/>
      <c r="D162" s="112"/>
      <c r="E162" s="112"/>
      <c r="F162" s="130"/>
      <c r="H162" s="123">
        <v>29</v>
      </c>
      <c r="I162" s="123">
        <f t="shared" ca="1" si="6"/>
        <v>1</v>
      </c>
      <c r="J162" s="123">
        <f t="shared" ca="1" si="7"/>
        <v>51</v>
      </c>
    </row>
    <row r="163" spans="1:15">
      <c r="A163" s="130" t="str">
        <f>A122</f>
        <v>・原則として、１月分まとめて提出してください。</v>
      </c>
      <c r="B163" s="112"/>
      <c r="C163" s="112"/>
      <c r="D163" s="112"/>
      <c r="E163" s="112"/>
      <c r="F163" s="112"/>
      <c r="H163" s="123">
        <v>30</v>
      </c>
      <c r="I163" s="123">
        <f t="shared" ca="1" si="6"/>
        <v>1</v>
      </c>
      <c r="J163" s="123">
        <f t="shared" ca="1" si="7"/>
        <v>52</v>
      </c>
    </row>
    <row r="164" spans="1:15">
      <c r="A164" s="131"/>
      <c r="B164" s="112"/>
      <c r="C164" s="112"/>
      <c r="D164" s="112"/>
      <c r="E164" s="112"/>
      <c r="F164" s="112"/>
      <c r="H164" s="123">
        <v>31</v>
      </c>
      <c r="I164" s="123">
        <f t="shared" ca="1" si="6"/>
        <v>1</v>
      </c>
      <c r="J164" s="123">
        <f t="shared" ca="1" si="7"/>
        <v>53</v>
      </c>
    </row>
    <row r="165" spans="1:15">
      <c r="A165" s="109" t="str">
        <f>$A$1</f>
        <v>様式１（第２条第２項第２号）</v>
      </c>
      <c r="B165" s="109"/>
      <c r="C165" s="109"/>
      <c r="D165" s="109"/>
      <c r="E165" s="109"/>
      <c r="F165" s="109"/>
    </row>
    <row r="166" spans="1:15" ht="10.5" customHeight="1">
      <c r="A166" s="110"/>
    </row>
    <row r="167" spans="1:15">
      <c r="A167" s="157" t="str">
        <f>$A$3</f>
        <v>夜間閉館申請書</v>
      </c>
      <c r="B167" s="157"/>
      <c r="C167" s="157"/>
      <c r="D167" s="157"/>
      <c r="E167" s="157"/>
      <c r="F167" s="157"/>
    </row>
    <row r="168" spans="1:15">
      <c r="A168" s="111"/>
      <c r="B168" s="112"/>
      <c r="C168" s="112"/>
      <c r="D168" s="112"/>
      <c r="E168" s="112"/>
      <c r="F168" s="135" t="s">
        <v>108</v>
      </c>
    </row>
    <row r="169" spans="1:15">
      <c r="A169" s="113" t="str">
        <f>$A$5</f>
        <v>（申請先）</v>
      </c>
      <c r="B169" s="112"/>
      <c r="C169" s="112"/>
      <c r="D169" s="112"/>
      <c r="E169" s="112"/>
      <c r="F169" s="112"/>
    </row>
    <row r="170" spans="1:15">
      <c r="A170" s="114" t="str">
        <f>A6</f>
        <v>磯子</v>
      </c>
      <c r="B170" s="112" t="s">
        <v>82</v>
      </c>
      <c r="C170" s="112"/>
      <c r="D170" s="112"/>
      <c r="E170" s="112"/>
      <c r="F170" s="112"/>
    </row>
    <row r="171" spans="1:15">
      <c r="A171" s="112"/>
      <c r="B171" s="112"/>
      <c r="C171" s="112"/>
      <c r="D171" s="112"/>
      <c r="E171" s="132" t="str">
        <f>E7</f>
        <v>洋光台</v>
      </c>
      <c r="F171" s="112" t="s">
        <v>83</v>
      </c>
    </row>
    <row r="172" spans="1:15" ht="12.75" customHeight="1">
      <c r="A172" s="113"/>
      <c r="B172" s="112"/>
      <c r="C172" s="112"/>
      <c r="D172" s="112"/>
      <c r="E172" s="112"/>
      <c r="F172" s="112"/>
      <c r="H172">
        <f>H131+$J$8</f>
        <v>158</v>
      </c>
    </row>
    <row r="173" spans="1:15" ht="57.75" customHeight="1" thickBot="1">
      <c r="A173" s="158" t="str">
        <f>A132</f>
        <v>　月曜日から土曜日の午後６時から午後９時（以下「夜間」という。）の施設利用の申込について、横浜市地域ケアプラザ施設使用及び目的外使用に関する要綱（以下「施設使用要綱」という。）第７条及び第８条に定める手続きが行われていない日のうち、次の日の夜間閉館を申請します。</v>
      </c>
      <c r="B173" s="158"/>
      <c r="C173" s="158"/>
      <c r="D173" s="158"/>
      <c r="E173" s="158"/>
      <c r="F173" s="158"/>
      <c r="H173">
        <f>H132+$J$8</f>
        <v>188</v>
      </c>
    </row>
    <row r="174" spans="1:15" s="115" customFormat="1" ht="19.5" thickBot="1">
      <c r="A174" s="116"/>
      <c r="B174" s="159" t="str">
        <f>B133</f>
        <v>年月</v>
      </c>
      <c r="C174" s="160"/>
      <c r="D174" s="117" t="str">
        <f>D133</f>
        <v>日</v>
      </c>
      <c r="E174" s="118" t="str">
        <f>E133</f>
        <v>（曜日）</v>
      </c>
      <c r="F174" s="116"/>
      <c r="H174" s="119" t="s">
        <v>65</v>
      </c>
      <c r="I174" s="120" t="s">
        <v>63</v>
      </c>
      <c r="J174" s="120" t="s">
        <v>64</v>
      </c>
    </row>
    <row r="175" spans="1:15">
      <c r="A175" s="112"/>
      <c r="B175" s="121" t="str">
        <f>$B$11</f>
        <v>令和７年</v>
      </c>
      <c r="C175" s="122" t="s">
        <v>69</v>
      </c>
      <c r="D175" s="155">
        <f>IFERROR(INDEX('入力表（利用申込のない夜間閉館）'!B$158:B$188,'様式１（区への申請用）'!J175,1),"")</f>
        <v>45873</v>
      </c>
      <c r="E175" s="156"/>
      <c r="F175" s="112"/>
      <c r="H175" s="123">
        <v>1</v>
      </c>
      <c r="I175" s="124">
        <f>MATCH("利用申込のない夜間閉館",'入力表（利用申込のない夜間閉館）'!E158:E188,0)</f>
        <v>4</v>
      </c>
      <c r="J175" s="124">
        <f>I175</f>
        <v>4</v>
      </c>
      <c r="L175" s="115"/>
      <c r="M175" s="115"/>
      <c r="O175" s="125"/>
    </row>
    <row r="176" spans="1:15">
      <c r="A176" s="112"/>
      <c r="B176" s="126">
        <f>$B$12</f>
        <v>2025</v>
      </c>
      <c r="C176" s="122"/>
      <c r="D176" s="153">
        <f ca="1">IFERROR(INDEX('入力表（利用申込のない夜間閉館）'!B$158:B$188,'様式１（区への申請用）'!J176,1),"")</f>
        <v>45874</v>
      </c>
      <c r="E176" s="154"/>
      <c r="F176" s="112"/>
      <c r="H176" s="123">
        <v>2</v>
      </c>
      <c r="I176" s="123">
        <f ca="1">MATCH("利用申込のない夜間閉館",INDIRECT("'入力表（利用申込のない夜間閉館）'!E"&amp;158+J175&amp;":e188"),0)</f>
        <v>1</v>
      </c>
      <c r="J176" s="123">
        <f ca="1">SUM(I175+I176)</f>
        <v>5</v>
      </c>
      <c r="O176" s="125"/>
    </row>
    <row r="177" spans="1:15">
      <c r="A177" s="112"/>
      <c r="B177" s="121"/>
      <c r="C177" s="122"/>
      <c r="D177" s="153">
        <f ca="1">IFERROR(INDEX('入力表（利用申込のない夜間閉館）'!B$158:B$188,'様式１（区への申請用）'!J177,1),"")</f>
        <v>45876</v>
      </c>
      <c r="E177" s="154"/>
      <c r="F177" s="112"/>
      <c r="H177" s="123">
        <v>3</v>
      </c>
      <c r="I177" s="123">
        <f t="shared" ref="I177:I205" ca="1" si="8">MATCH("利用申込のない夜間閉館",INDIRECT("'入力表（利用申込のない夜間閉館）'!E"&amp;158+J176&amp;":e188"),0)</f>
        <v>2</v>
      </c>
      <c r="J177" s="123">
        <f ca="1">SUM(J176+I177)</f>
        <v>7</v>
      </c>
      <c r="O177" s="125"/>
    </row>
    <row r="178" spans="1:15">
      <c r="A178" s="112"/>
      <c r="B178" s="121"/>
      <c r="C178" s="127"/>
      <c r="D178" s="153">
        <f ca="1">IFERROR(INDEX('入力表（利用申込のない夜間閉館）'!B$158:B$188,'様式１（区への申請用）'!J178,1),"")</f>
        <v>45882</v>
      </c>
      <c r="E178" s="154"/>
      <c r="F178" s="112"/>
      <c r="H178" s="123">
        <v>4</v>
      </c>
      <c r="I178" s="123">
        <f t="shared" ca="1" si="8"/>
        <v>6</v>
      </c>
      <c r="J178" s="123">
        <f t="shared" ref="J178:J205" ca="1" si="9">SUM(J177+I178)</f>
        <v>13</v>
      </c>
      <c r="O178" s="125"/>
    </row>
    <row r="179" spans="1:15">
      <c r="A179" s="112"/>
      <c r="B179" s="121"/>
      <c r="C179" s="127"/>
      <c r="D179" s="153">
        <f ca="1">IFERROR(INDEX('入力表（利用申込のない夜間閉館）'!B$158:B$188,'様式１（区への申請用）'!J179,1),"")</f>
        <v>45883</v>
      </c>
      <c r="E179" s="154"/>
      <c r="F179" s="112"/>
      <c r="H179" s="123">
        <v>5</v>
      </c>
      <c r="I179" s="123">
        <f t="shared" ca="1" si="8"/>
        <v>1</v>
      </c>
      <c r="J179" s="123">
        <f t="shared" ca="1" si="9"/>
        <v>14</v>
      </c>
      <c r="O179" s="125"/>
    </row>
    <row r="180" spans="1:15">
      <c r="A180" s="112"/>
      <c r="B180" s="121"/>
      <c r="C180" s="127"/>
      <c r="D180" s="153">
        <f ca="1">IFERROR(INDEX('入力表（利用申込のない夜間閉館）'!B$158:B$188,'様式１（区への申請用）'!J180,1),"")</f>
        <v>45884</v>
      </c>
      <c r="E180" s="154"/>
      <c r="F180" s="112"/>
      <c r="H180" s="123">
        <v>6</v>
      </c>
      <c r="I180" s="123">
        <f t="shared" ca="1" si="8"/>
        <v>1</v>
      </c>
      <c r="J180" s="123">
        <f t="shared" ca="1" si="9"/>
        <v>15</v>
      </c>
      <c r="O180" s="125"/>
    </row>
    <row r="181" spans="1:15">
      <c r="A181" s="112"/>
      <c r="B181" s="121"/>
      <c r="C181" s="127"/>
      <c r="D181" s="153">
        <f ca="1">IFERROR(INDEX('入力表（利用申込のない夜間閉館）'!B$158:B$188,'様式１（区への申請用）'!J181,1),"")</f>
        <v>45888</v>
      </c>
      <c r="E181" s="154"/>
      <c r="F181" s="112"/>
      <c r="H181" s="123">
        <v>7</v>
      </c>
      <c r="I181" s="123">
        <f t="shared" ca="1" si="8"/>
        <v>4</v>
      </c>
      <c r="J181" s="123">
        <f t="shared" ca="1" si="9"/>
        <v>19</v>
      </c>
      <c r="O181" s="125"/>
    </row>
    <row r="182" spans="1:15">
      <c r="A182" s="112"/>
      <c r="B182" s="121"/>
      <c r="C182" s="127"/>
      <c r="D182" s="153">
        <f ca="1">IFERROR(INDEX('入力表（利用申込のない夜間閉館）'!B$158:B$188,'様式１（区への申請用）'!J182,1),"")</f>
        <v>45897</v>
      </c>
      <c r="E182" s="154"/>
      <c r="F182" s="112"/>
      <c r="H182" s="123">
        <v>8</v>
      </c>
      <c r="I182" s="123">
        <f t="shared" ca="1" si="8"/>
        <v>9</v>
      </c>
      <c r="J182" s="123">
        <f t="shared" ca="1" si="9"/>
        <v>28</v>
      </c>
    </row>
    <row r="183" spans="1:15">
      <c r="A183" s="112"/>
      <c r="B183" s="121"/>
      <c r="C183" s="127"/>
      <c r="D183" s="153">
        <f ca="1">IFERROR(INDEX('入力表（利用申込のない夜間閉館）'!B$158:B$188,'様式１（区への申請用）'!J183,1),"")</f>
        <v>45899</v>
      </c>
      <c r="E183" s="154"/>
      <c r="F183" s="112"/>
      <c r="H183" s="123">
        <v>9</v>
      </c>
      <c r="I183" s="123">
        <f t="shared" ca="1" si="8"/>
        <v>2</v>
      </c>
      <c r="J183" s="123">
        <f t="shared" ca="1" si="9"/>
        <v>30</v>
      </c>
    </row>
    <row r="184" spans="1:15">
      <c r="A184" s="112"/>
      <c r="B184" s="121"/>
      <c r="C184" s="127"/>
      <c r="D184" s="153" t="str">
        <f ca="1">IFERROR(INDEX('入力表（利用申込のない夜間閉館）'!B$158:B$188,'様式１（区への申請用）'!J184,1),"")</f>
        <v/>
      </c>
      <c r="E184" s="154"/>
      <c r="F184" s="112"/>
      <c r="H184" s="123">
        <v>10</v>
      </c>
      <c r="I184" s="123" t="e">
        <f t="shared" ca="1" si="8"/>
        <v>#N/A</v>
      </c>
      <c r="J184" s="123" t="e">
        <f t="shared" ca="1" si="9"/>
        <v>#N/A</v>
      </c>
    </row>
    <row r="185" spans="1:15">
      <c r="A185" s="112"/>
      <c r="B185" s="121"/>
      <c r="C185" s="127"/>
      <c r="D185" s="153" t="str">
        <f ca="1">IFERROR(INDEX('入力表（利用申込のない夜間閉館）'!B$158:B$188,'様式１（区への申請用）'!J185,1),"")</f>
        <v/>
      </c>
      <c r="E185" s="154"/>
      <c r="F185" s="112"/>
      <c r="H185" s="123">
        <v>11</v>
      </c>
      <c r="I185" s="123" t="e">
        <f t="shared" ca="1" si="8"/>
        <v>#N/A</v>
      </c>
      <c r="J185" s="123" t="e">
        <f t="shared" ca="1" si="9"/>
        <v>#N/A</v>
      </c>
    </row>
    <row r="186" spans="1:15">
      <c r="A186" s="112"/>
      <c r="B186" s="121"/>
      <c r="C186" s="127"/>
      <c r="D186" s="153" t="str">
        <f ca="1">IFERROR(INDEX('入力表（利用申込のない夜間閉館）'!B$158:B$188,'様式１（区への申請用）'!J186,1),"")</f>
        <v/>
      </c>
      <c r="E186" s="154"/>
      <c r="F186" s="112"/>
      <c r="H186" s="123">
        <v>12</v>
      </c>
      <c r="I186" s="123" t="e">
        <f t="shared" ca="1" si="8"/>
        <v>#N/A</v>
      </c>
      <c r="J186" s="123" t="e">
        <f t="shared" ca="1" si="9"/>
        <v>#N/A</v>
      </c>
    </row>
    <row r="187" spans="1:15">
      <c r="A187" s="112"/>
      <c r="B187" s="121"/>
      <c r="C187" s="127"/>
      <c r="D187" s="153" t="str">
        <f ca="1">IFERROR(INDEX('入力表（利用申込のない夜間閉館）'!B$158:B$188,'様式１（区への申請用）'!J187,1),"")</f>
        <v/>
      </c>
      <c r="E187" s="154"/>
      <c r="F187" s="112"/>
      <c r="H187" s="123">
        <v>13</v>
      </c>
      <c r="I187" s="123" t="e">
        <f t="shared" ca="1" si="8"/>
        <v>#N/A</v>
      </c>
      <c r="J187" s="123" t="e">
        <f t="shared" ca="1" si="9"/>
        <v>#N/A</v>
      </c>
    </row>
    <row r="188" spans="1:15">
      <c r="A188" s="112"/>
      <c r="B188" s="121"/>
      <c r="C188" s="127"/>
      <c r="D188" s="153" t="str">
        <f ca="1">IFERROR(INDEX('入力表（利用申込のない夜間閉館）'!B$158:B$188,'様式１（区への申請用）'!J188,1),"")</f>
        <v/>
      </c>
      <c r="E188" s="154"/>
      <c r="F188" s="112"/>
      <c r="H188" s="123">
        <v>14</v>
      </c>
      <c r="I188" s="123" t="e">
        <f t="shared" ca="1" si="8"/>
        <v>#N/A</v>
      </c>
      <c r="J188" s="123" t="e">
        <f t="shared" ca="1" si="9"/>
        <v>#N/A</v>
      </c>
    </row>
    <row r="189" spans="1:15">
      <c r="A189" s="112"/>
      <c r="B189" s="121"/>
      <c r="C189" s="127"/>
      <c r="D189" s="153" t="str">
        <f ca="1">IFERROR(INDEX('入力表（利用申込のない夜間閉館）'!B$158:B$188,'様式１（区への申請用）'!J189,1),"")</f>
        <v/>
      </c>
      <c r="E189" s="154"/>
      <c r="F189" s="112"/>
      <c r="H189" s="123">
        <v>15</v>
      </c>
      <c r="I189" s="123" t="e">
        <f t="shared" ca="1" si="8"/>
        <v>#N/A</v>
      </c>
      <c r="J189" s="123" t="e">
        <f t="shared" ca="1" si="9"/>
        <v>#N/A</v>
      </c>
    </row>
    <row r="190" spans="1:15">
      <c r="A190" s="112"/>
      <c r="B190" s="121"/>
      <c r="C190" s="127"/>
      <c r="D190" s="153" t="str">
        <f ca="1">IFERROR(INDEX('入力表（利用申込のない夜間閉館）'!B$158:B$188,'様式１（区への申請用）'!J190,1),"")</f>
        <v/>
      </c>
      <c r="E190" s="154"/>
      <c r="F190" s="112"/>
      <c r="H190" s="123">
        <v>16</v>
      </c>
      <c r="I190" s="123" t="e">
        <f t="shared" ca="1" si="8"/>
        <v>#N/A</v>
      </c>
      <c r="J190" s="123" t="e">
        <f t="shared" ca="1" si="9"/>
        <v>#N/A</v>
      </c>
    </row>
    <row r="191" spans="1:15">
      <c r="A191" s="112"/>
      <c r="B191" s="121"/>
      <c r="C191" s="127"/>
      <c r="D191" s="153" t="str">
        <f ca="1">IFERROR(INDEX('入力表（利用申込のない夜間閉館）'!B$158:B$188,'様式１（区への申請用）'!J191,1),"")</f>
        <v/>
      </c>
      <c r="E191" s="154"/>
      <c r="F191" s="112"/>
      <c r="H191" s="123">
        <v>17</v>
      </c>
      <c r="I191" s="123" t="e">
        <f t="shared" ca="1" si="8"/>
        <v>#N/A</v>
      </c>
      <c r="J191" s="123" t="e">
        <f t="shared" ca="1" si="9"/>
        <v>#N/A</v>
      </c>
    </row>
    <row r="192" spans="1:15">
      <c r="A192" s="112"/>
      <c r="B192" s="121"/>
      <c r="C192" s="127"/>
      <c r="D192" s="153" t="str">
        <f ca="1">IFERROR(INDEX('入力表（利用申込のない夜間閉館）'!B$158:B$188,'様式１（区への申請用）'!J192,1),"")</f>
        <v/>
      </c>
      <c r="E192" s="154"/>
      <c r="F192" s="112"/>
      <c r="H192" s="123">
        <v>18</v>
      </c>
      <c r="I192" s="123" t="e">
        <f t="shared" ca="1" si="8"/>
        <v>#N/A</v>
      </c>
      <c r="J192" s="123" t="e">
        <f t="shared" ca="1" si="9"/>
        <v>#N/A</v>
      </c>
    </row>
    <row r="193" spans="1:10">
      <c r="A193" s="112"/>
      <c r="B193" s="121"/>
      <c r="C193" s="127"/>
      <c r="D193" s="153" t="str">
        <f ca="1">IFERROR(INDEX('入力表（利用申込のない夜間閉館）'!B$158:B$188,'様式１（区への申請用）'!J193,1),"")</f>
        <v/>
      </c>
      <c r="E193" s="154"/>
      <c r="F193" s="112"/>
      <c r="H193" s="123">
        <v>19</v>
      </c>
      <c r="I193" s="123" t="e">
        <f t="shared" ca="1" si="8"/>
        <v>#N/A</v>
      </c>
      <c r="J193" s="123" t="e">
        <f t="shared" ca="1" si="9"/>
        <v>#N/A</v>
      </c>
    </row>
    <row r="194" spans="1:10">
      <c r="A194" s="112"/>
      <c r="B194" s="121"/>
      <c r="C194" s="127"/>
      <c r="D194" s="153" t="str">
        <f ca="1">IFERROR(INDEX('入力表（利用申込のない夜間閉館）'!B$158:B$188,'様式１（区への申請用）'!J194,1),"")</f>
        <v/>
      </c>
      <c r="E194" s="154"/>
      <c r="F194" s="112"/>
      <c r="H194" s="123">
        <v>20</v>
      </c>
      <c r="I194" s="123" t="e">
        <f t="shared" ca="1" si="8"/>
        <v>#N/A</v>
      </c>
      <c r="J194" s="123" t="e">
        <f t="shared" ca="1" si="9"/>
        <v>#N/A</v>
      </c>
    </row>
    <row r="195" spans="1:10">
      <c r="A195" s="112"/>
      <c r="B195" s="121"/>
      <c r="C195" s="127"/>
      <c r="D195" s="153" t="str">
        <f ca="1">IFERROR(INDEX('入力表（利用申込のない夜間閉館）'!B$158:B$188,'様式１（区への申請用）'!J195,1),"")</f>
        <v/>
      </c>
      <c r="E195" s="154"/>
      <c r="F195" s="112"/>
      <c r="H195" s="123">
        <v>21</v>
      </c>
      <c r="I195" s="123" t="e">
        <f t="shared" ca="1" si="8"/>
        <v>#N/A</v>
      </c>
      <c r="J195" s="123" t="e">
        <f t="shared" ca="1" si="9"/>
        <v>#N/A</v>
      </c>
    </row>
    <row r="196" spans="1:10">
      <c r="A196" s="112"/>
      <c r="B196" s="121"/>
      <c r="C196" s="127"/>
      <c r="D196" s="153" t="str">
        <f ca="1">IFERROR(INDEX('入力表（利用申込のない夜間閉館）'!B$158:B$188,'様式１（区への申請用）'!J196,1),"")</f>
        <v/>
      </c>
      <c r="E196" s="154"/>
      <c r="F196" s="112"/>
      <c r="H196" s="123">
        <v>22</v>
      </c>
      <c r="I196" s="123" t="e">
        <f t="shared" ca="1" si="8"/>
        <v>#N/A</v>
      </c>
      <c r="J196" s="123" t="e">
        <f t="shared" ca="1" si="9"/>
        <v>#N/A</v>
      </c>
    </row>
    <row r="197" spans="1:10">
      <c r="A197" s="112"/>
      <c r="B197" s="121"/>
      <c r="C197" s="127"/>
      <c r="D197" s="153" t="str">
        <f ca="1">IFERROR(INDEX('入力表（利用申込のない夜間閉館）'!B$158:B$188,'様式１（区への申請用）'!J197,1),"")</f>
        <v/>
      </c>
      <c r="E197" s="154"/>
      <c r="F197" s="112"/>
      <c r="H197" s="123">
        <v>23</v>
      </c>
      <c r="I197" s="123" t="e">
        <f t="shared" ca="1" si="8"/>
        <v>#N/A</v>
      </c>
      <c r="J197" s="123" t="e">
        <f t="shared" ca="1" si="9"/>
        <v>#N/A</v>
      </c>
    </row>
    <row r="198" spans="1:10">
      <c r="A198" s="112"/>
      <c r="B198" s="121"/>
      <c r="C198" s="127"/>
      <c r="D198" s="153" t="str">
        <f ca="1">IFERROR(INDEX('入力表（利用申込のない夜間閉館）'!B$158:B$188,'様式１（区への申請用）'!J198,1),"")</f>
        <v/>
      </c>
      <c r="E198" s="154"/>
      <c r="F198" s="112"/>
      <c r="H198" s="123">
        <v>24</v>
      </c>
      <c r="I198" s="123" t="e">
        <f t="shared" ca="1" si="8"/>
        <v>#N/A</v>
      </c>
      <c r="J198" s="123" t="e">
        <f t="shared" ca="1" si="9"/>
        <v>#N/A</v>
      </c>
    </row>
    <row r="199" spans="1:10">
      <c r="A199" s="112"/>
      <c r="B199" s="121"/>
      <c r="C199" s="127"/>
      <c r="D199" s="153" t="str">
        <f ca="1">IFERROR(INDEX('入力表（利用申込のない夜間閉館）'!B$158:B$188,'様式１（区への申請用）'!J199,1),"")</f>
        <v/>
      </c>
      <c r="E199" s="154"/>
      <c r="F199" s="112"/>
      <c r="H199" s="123">
        <v>25</v>
      </c>
      <c r="I199" s="123" t="e">
        <f t="shared" ca="1" si="8"/>
        <v>#N/A</v>
      </c>
      <c r="J199" s="123" t="e">
        <f t="shared" ca="1" si="9"/>
        <v>#N/A</v>
      </c>
    </row>
    <row r="200" spans="1:10">
      <c r="A200" s="112"/>
      <c r="B200" s="121"/>
      <c r="C200" s="127"/>
      <c r="D200" s="153" t="str">
        <f ca="1">IFERROR(INDEX('入力表（利用申込のない夜間閉館）'!B$158:B$188,'様式１（区への申請用）'!J200,1),"")</f>
        <v/>
      </c>
      <c r="E200" s="154"/>
      <c r="F200" s="112"/>
      <c r="H200" s="123">
        <v>26</v>
      </c>
      <c r="I200" s="123" t="e">
        <f t="shared" ca="1" si="8"/>
        <v>#N/A</v>
      </c>
      <c r="J200" s="123" t="e">
        <f t="shared" ca="1" si="9"/>
        <v>#N/A</v>
      </c>
    </row>
    <row r="201" spans="1:10">
      <c r="A201" s="112"/>
      <c r="B201" s="128"/>
      <c r="C201" s="129"/>
      <c r="D201" s="153" t="str">
        <f ca="1">IFERROR(INDEX('入力表（利用申込のない夜間閉館）'!B$158:B$188,'様式１（区への申請用）'!J201,1),"")</f>
        <v/>
      </c>
      <c r="E201" s="154"/>
      <c r="F201" s="112"/>
      <c r="H201" s="123">
        <v>27</v>
      </c>
      <c r="I201" s="123" t="e">
        <f t="shared" ca="1" si="8"/>
        <v>#N/A</v>
      </c>
      <c r="J201" s="123" t="e">
        <f t="shared" ca="1" si="9"/>
        <v>#N/A</v>
      </c>
    </row>
    <row r="202" spans="1:10">
      <c r="A202" s="113"/>
      <c r="B202" s="112"/>
      <c r="C202" s="112"/>
      <c r="D202" s="112"/>
      <c r="E202" s="112"/>
      <c r="F202" s="112"/>
      <c r="H202" s="123">
        <v>28</v>
      </c>
      <c r="I202" s="123" t="e">
        <f t="shared" ca="1" si="8"/>
        <v>#N/A</v>
      </c>
      <c r="J202" s="123" t="e">
        <f t="shared" ca="1" si="9"/>
        <v>#N/A</v>
      </c>
    </row>
    <row r="203" spans="1:10">
      <c r="A203" s="112"/>
      <c r="B203" s="130"/>
      <c r="C203" s="130"/>
      <c r="D203" s="112"/>
      <c r="E203" s="112"/>
      <c r="F203" s="130"/>
      <c r="H203" s="123">
        <v>29</v>
      </c>
      <c r="I203" s="123" t="e">
        <f t="shared" ca="1" si="8"/>
        <v>#N/A</v>
      </c>
      <c r="J203" s="123" t="e">
        <f t="shared" ca="1" si="9"/>
        <v>#N/A</v>
      </c>
    </row>
    <row r="204" spans="1:10">
      <c r="A204" s="130" t="str">
        <f>A163</f>
        <v>・原則として、１月分まとめて提出してください。</v>
      </c>
      <c r="B204" s="112"/>
      <c r="C204" s="112"/>
      <c r="D204" s="112"/>
      <c r="E204" s="112"/>
      <c r="F204" s="112"/>
      <c r="H204" s="123">
        <v>30</v>
      </c>
      <c r="I204" s="123" t="e">
        <f t="shared" ca="1" si="8"/>
        <v>#N/A</v>
      </c>
      <c r="J204" s="123" t="e">
        <f t="shared" ca="1" si="9"/>
        <v>#N/A</v>
      </c>
    </row>
    <row r="205" spans="1:10">
      <c r="A205" s="131"/>
      <c r="B205" s="112"/>
      <c r="C205" s="112"/>
      <c r="D205" s="112"/>
      <c r="E205" s="112"/>
      <c r="F205" s="112"/>
      <c r="H205" s="123">
        <v>31</v>
      </c>
      <c r="I205" s="123" t="e">
        <f t="shared" ca="1" si="8"/>
        <v>#N/A</v>
      </c>
      <c r="J205" s="123" t="e">
        <f t="shared" ca="1" si="9"/>
        <v>#N/A</v>
      </c>
    </row>
    <row r="206" spans="1:10">
      <c r="A206" s="109" t="str">
        <f>$A$1</f>
        <v>様式１（第２条第２項第２号）</v>
      </c>
      <c r="B206" s="109"/>
      <c r="C206" s="109"/>
      <c r="D206" s="109"/>
      <c r="E206" s="109"/>
      <c r="F206" s="109"/>
    </row>
    <row r="207" spans="1:10" ht="10.5" customHeight="1">
      <c r="A207" s="110"/>
      <c r="B207" s="133"/>
      <c r="C207" s="133"/>
      <c r="D207" s="133"/>
      <c r="E207" s="133"/>
      <c r="F207" s="133"/>
    </row>
    <row r="208" spans="1:10">
      <c r="A208" s="157" t="str">
        <f>$A$3</f>
        <v>夜間閉館申請書</v>
      </c>
      <c r="B208" s="157"/>
      <c r="C208" s="157"/>
      <c r="D208" s="157"/>
      <c r="E208" s="157"/>
      <c r="F208" s="157"/>
    </row>
    <row r="209" spans="1:15">
      <c r="A209" s="111"/>
      <c r="B209" s="112"/>
      <c r="C209" s="112"/>
      <c r="D209" s="112"/>
      <c r="E209" s="112"/>
      <c r="F209" s="135" t="s">
        <v>109</v>
      </c>
    </row>
    <row r="210" spans="1:15">
      <c r="A210" s="113" t="str">
        <f>$A$5</f>
        <v>（申請先）</v>
      </c>
      <c r="B210" s="112"/>
      <c r="C210" s="112"/>
      <c r="D210" s="112"/>
      <c r="E210" s="112"/>
      <c r="F210" s="112"/>
    </row>
    <row r="211" spans="1:15">
      <c r="A211" s="114" t="str">
        <f>A6</f>
        <v>磯子</v>
      </c>
      <c r="B211" s="112" t="s">
        <v>82</v>
      </c>
      <c r="C211" s="112"/>
      <c r="D211" s="112"/>
      <c r="E211" s="112"/>
      <c r="F211" s="112"/>
    </row>
    <row r="212" spans="1:15">
      <c r="A212" s="112"/>
      <c r="B212" s="112"/>
      <c r="C212" s="112"/>
      <c r="D212" s="112"/>
      <c r="E212" s="132" t="str">
        <f>E7</f>
        <v>洋光台</v>
      </c>
      <c r="F212" s="112" t="s">
        <v>83</v>
      </c>
    </row>
    <row r="213" spans="1:15" ht="12.75" customHeight="1">
      <c r="A213" s="113"/>
      <c r="B213" s="112"/>
      <c r="C213" s="112"/>
      <c r="D213" s="112"/>
      <c r="E213" s="112"/>
      <c r="F213" s="112"/>
      <c r="H213">
        <f>H172+$J$8</f>
        <v>196</v>
      </c>
    </row>
    <row r="214" spans="1:15" ht="57.75" customHeight="1" thickBot="1">
      <c r="A214" s="158" t="str">
        <f>A173</f>
        <v>　月曜日から土曜日の午後６時から午後９時（以下「夜間」という。）の施設利用の申込について、横浜市地域ケアプラザ施設使用及び目的外使用に関する要綱（以下「施設使用要綱」という。）第７条及び第８条に定める手続きが行われていない日のうち、次の日の夜間閉館を申請します。</v>
      </c>
      <c r="B214" s="158"/>
      <c r="C214" s="158"/>
      <c r="D214" s="158"/>
      <c r="E214" s="158"/>
      <c r="F214" s="158"/>
      <c r="H214">
        <f>H173+$J$8</f>
        <v>226</v>
      </c>
    </row>
    <row r="215" spans="1:15" s="115" customFormat="1" ht="19.5" thickBot="1">
      <c r="A215" s="116"/>
      <c r="B215" s="159" t="str">
        <f>B174</f>
        <v>年月</v>
      </c>
      <c r="C215" s="160"/>
      <c r="D215" s="117" t="str">
        <f>D174</f>
        <v>日</v>
      </c>
      <c r="E215" s="118" t="str">
        <f>E174</f>
        <v>（曜日）</v>
      </c>
      <c r="F215" s="116"/>
      <c r="H215" s="119" t="s">
        <v>65</v>
      </c>
      <c r="I215" s="120" t="s">
        <v>63</v>
      </c>
      <c r="J215" s="120" t="s">
        <v>64</v>
      </c>
    </row>
    <row r="216" spans="1:15">
      <c r="A216" s="112"/>
      <c r="B216" s="121" t="str">
        <f>$B$11</f>
        <v>令和７年</v>
      </c>
      <c r="C216" s="122" t="s">
        <v>70</v>
      </c>
      <c r="D216" s="155">
        <f>IFERROR(INDEX('入力表（利用申込のない夜間閉館）'!B$196:B$226,'様式１（区への申請用）'!J216,1),"")</f>
        <v>45901</v>
      </c>
      <c r="E216" s="156"/>
      <c r="F216" s="112"/>
      <c r="H216" s="123">
        <v>1</v>
      </c>
      <c r="I216" s="124">
        <f>MATCH("利用申込のない夜間閉館",'入力表（利用申込のない夜間閉館）'!E196:E226,0)</f>
        <v>1</v>
      </c>
      <c r="J216" s="124">
        <f>I216</f>
        <v>1</v>
      </c>
      <c r="L216" s="115"/>
      <c r="M216" s="115"/>
      <c r="O216" s="125"/>
    </row>
    <row r="217" spans="1:15">
      <c r="A217" s="112"/>
      <c r="B217" s="126">
        <f>$B$12</f>
        <v>2025</v>
      </c>
      <c r="C217" s="122"/>
      <c r="D217" s="153">
        <f ca="1">IFERROR(INDEX('入力表（利用申込のない夜間閉館）'!B$196:B$226,'様式１（区への申請用）'!J217,1),"")</f>
        <v>45902</v>
      </c>
      <c r="E217" s="154"/>
      <c r="F217" s="112"/>
      <c r="H217" s="123">
        <v>2</v>
      </c>
      <c r="I217" s="123">
        <f ca="1">MATCH("利用申込のない夜間閉館",INDIRECT("'入力表（利用申込のない夜間閉館）'!E"&amp;196+J216&amp;":e226"),0)</f>
        <v>1</v>
      </c>
      <c r="J217" s="123">
        <f ca="1">SUM(I216+I217)</f>
        <v>2</v>
      </c>
      <c r="O217" s="125"/>
    </row>
    <row r="218" spans="1:15">
      <c r="A218" s="112"/>
      <c r="B218" s="121"/>
      <c r="C218" s="122"/>
      <c r="D218" s="153">
        <f ca="1">IFERROR(INDEX('入力表（利用申込のない夜間閉館）'!B$196:B$226,'様式１（区への申請用）'!J218,1),"")</f>
        <v>45904</v>
      </c>
      <c r="E218" s="154"/>
      <c r="F218" s="112"/>
      <c r="H218" s="123">
        <v>3</v>
      </c>
      <c r="I218" s="123">
        <f t="shared" ref="I218:I246" ca="1" si="10">MATCH("利用申込のない夜間閉館",INDIRECT("'入力表（利用申込のない夜間閉館）'!E"&amp;196+J217&amp;":e226"),0)</f>
        <v>2</v>
      </c>
      <c r="J218" s="123">
        <f ca="1">SUM(J217+I218)</f>
        <v>4</v>
      </c>
      <c r="O218" s="125"/>
    </row>
    <row r="219" spans="1:15">
      <c r="A219" s="112"/>
      <c r="B219" s="121"/>
      <c r="C219" s="127"/>
      <c r="D219" s="153">
        <f ca="1">IFERROR(INDEX('入力表（利用申込のない夜間閉館）'!B$196:B$226,'様式１（区への申請用）'!J219,1),"")</f>
        <v>45906</v>
      </c>
      <c r="E219" s="154"/>
      <c r="F219" s="112"/>
      <c r="H219" s="123">
        <v>4</v>
      </c>
      <c r="I219" s="123">
        <f t="shared" ca="1" si="10"/>
        <v>2</v>
      </c>
      <c r="J219" s="123">
        <f t="shared" ref="J219:J246" ca="1" si="11">SUM(J218+I219)</f>
        <v>6</v>
      </c>
      <c r="O219" s="125"/>
    </row>
    <row r="220" spans="1:15">
      <c r="A220" s="112"/>
      <c r="B220" s="121"/>
      <c r="C220" s="127"/>
      <c r="D220" s="153">
        <f ca="1">IFERROR(INDEX('入力表（利用申込のない夜間閉館）'!B$196:B$226,'様式１（区への申請用）'!J220,1),"")</f>
        <v>45908</v>
      </c>
      <c r="E220" s="154"/>
      <c r="F220" s="112"/>
      <c r="H220" s="123">
        <v>5</v>
      </c>
      <c r="I220" s="123">
        <f t="shared" ca="1" si="10"/>
        <v>2</v>
      </c>
      <c r="J220" s="123">
        <f t="shared" ca="1" si="11"/>
        <v>8</v>
      </c>
      <c r="O220" s="125"/>
    </row>
    <row r="221" spans="1:15">
      <c r="A221" s="112"/>
      <c r="B221" s="121"/>
      <c r="C221" s="127"/>
      <c r="D221" s="153">
        <f ca="1">IFERROR(INDEX('入力表（利用申込のない夜間閉館）'!B$196:B$226,'様式１（区への申請用）'!J221,1),"")</f>
        <v>45911</v>
      </c>
      <c r="E221" s="154"/>
      <c r="F221" s="112"/>
      <c r="H221" s="123">
        <v>6</v>
      </c>
      <c r="I221" s="123">
        <f t="shared" ca="1" si="10"/>
        <v>3</v>
      </c>
      <c r="J221" s="123">
        <f t="shared" ca="1" si="11"/>
        <v>11</v>
      </c>
      <c r="O221" s="125"/>
    </row>
    <row r="222" spans="1:15">
      <c r="A222" s="112"/>
      <c r="B222" s="121"/>
      <c r="C222" s="127"/>
      <c r="D222" s="153">
        <f ca="1">IFERROR(INDEX('入力表（利用申込のない夜間閉館）'!B$196:B$226,'様式１（区への申請用）'!J222,1),"")</f>
        <v>45916</v>
      </c>
      <c r="E222" s="154"/>
      <c r="F222" s="112"/>
      <c r="H222" s="123">
        <v>7</v>
      </c>
      <c r="I222" s="123">
        <f t="shared" ca="1" si="10"/>
        <v>5</v>
      </c>
      <c r="J222" s="123">
        <f t="shared" ca="1" si="11"/>
        <v>16</v>
      </c>
      <c r="O222" s="125"/>
    </row>
    <row r="223" spans="1:15">
      <c r="A223" s="112"/>
      <c r="B223" s="121"/>
      <c r="C223" s="127"/>
      <c r="D223" s="153">
        <f ca="1">IFERROR(INDEX('入力表（利用申込のない夜間閉館）'!B$196:B$226,'様式１（区への申請用）'!J223,1),"")</f>
        <v>45922</v>
      </c>
      <c r="E223" s="154"/>
      <c r="F223" s="112"/>
      <c r="H223" s="123">
        <v>8</v>
      </c>
      <c r="I223" s="123">
        <f t="shared" ca="1" si="10"/>
        <v>6</v>
      </c>
      <c r="J223" s="123">
        <f t="shared" ca="1" si="11"/>
        <v>22</v>
      </c>
    </row>
    <row r="224" spans="1:15">
      <c r="A224" s="112"/>
      <c r="B224" s="121"/>
      <c r="C224" s="127"/>
      <c r="D224" s="153">
        <f ca="1">IFERROR(INDEX('入力表（利用申込のない夜間閉館）'!B$196:B$226,'様式１（区への申請用）'!J224,1),"")</f>
        <v>45925</v>
      </c>
      <c r="E224" s="154"/>
      <c r="F224" s="112"/>
      <c r="H224" s="123">
        <v>9</v>
      </c>
      <c r="I224" s="123">
        <f t="shared" ca="1" si="10"/>
        <v>3</v>
      </c>
      <c r="J224" s="123">
        <f t="shared" ca="1" si="11"/>
        <v>25</v>
      </c>
    </row>
    <row r="225" spans="1:10">
      <c r="A225" s="112"/>
      <c r="B225" s="121"/>
      <c r="C225" s="127"/>
      <c r="D225" s="153">
        <f ca="1">IFERROR(INDEX('入力表（利用申込のない夜間閉館）'!B$196:B$226,'様式１（区への申請用）'!J225,1),"")</f>
        <v>45927</v>
      </c>
      <c r="E225" s="154"/>
      <c r="F225" s="112"/>
      <c r="H225" s="123">
        <v>10</v>
      </c>
      <c r="I225" s="123">
        <f t="shared" ca="1" si="10"/>
        <v>2</v>
      </c>
      <c r="J225" s="123">
        <f t="shared" ca="1" si="11"/>
        <v>27</v>
      </c>
    </row>
    <row r="226" spans="1:10">
      <c r="A226" s="112"/>
      <c r="B226" s="121"/>
      <c r="C226" s="127"/>
      <c r="D226" s="153" t="str">
        <f ca="1">IFERROR(INDEX('入力表（利用申込のない夜間閉館）'!B$196:B$226,'様式１（区への申請用）'!J226,1),"")</f>
        <v/>
      </c>
      <c r="E226" s="154"/>
      <c r="F226" s="112"/>
      <c r="H226" s="123">
        <v>11</v>
      </c>
      <c r="I226" s="123" t="e">
        <f t="shared" ca="1" si="10"/>
        <v>#N/A</v>
      </c>
      <c r="J226" s="123" t="e">
        <f t="shared" ca="1" si="11"/>
        <v>#N/A</v>
      </c>
    </row>
    <row r="227" spans="1:10">
      <c r="A227" s="112"/>
      <c r="B227" s="121"/>
      <c r="C227" s="127"/>
      <c r="D227" s="153" t="str">
        <f ca="1">IFERROR(INDEX('入力表（利用申込のない夜間閉館）'!B$196:B$226,'様式１（区への申請用）'!J227,1),"")</f>
        <v/>
      </c>
      <c r="E227" s="154"/>
      <c r="F227" s="112"/>
      <c r="H227" s="123">
        <v>12</v>
      </c>
      <c r="I227" s="123" t="e">
        <f t="shared" ca="1" si="10"/>
        <v>#N/A</v>
      </c>
      <c r="J227" s="123" t="e">
        <f t="shared" ca="1" si="11"/>
        <v>#N/A</v>
      </c>
    </row>
    <row r="228" spans="1:10">
      <c r="A228" s="112"/>
      <c r="B228" s="121"/>
      <c r="C228" s="127"/>
      <c r="D228" s="153" t="str">
        <f ca="1">IFERROR(INDEX('入力表（利用申込のない夜間閉館）'!B$196:B$226,'様式１（区への申請用）'!J228,1),"")</f>
        <v/>
      </c>
      <c r="E228" s="154"/>
      <c r="F228" s="112"/>
      <c r="H228" s="123">
        <v>13</v>
      </c>
      <c r="I228" s="123" t="e">
        <f t="shared" ca="1" si="10"/>
        <v>#N/A</v>
      </c>
      <c r="J228" s="123" t="e">
        <f t="shared" ca="1" si="11"/>
        <v>#N/A</v>
      </c>
    </row>
    <row r="229" spans="1:10">
      <c r="A229" s="112"/>
      <c r="B229" s="121"/>
      <c r="C229" s="127"/>
      <c r="D229" s="153" t="str">
        <f ca="1">IFERROR(INDEX('入力表（利用申込のない夜間閉館）'!B$196:B$226,'様式１（区への申請用）'!J229,1),"")</f>
        <v/>
      </c>
      <c r="E229" s="154"/>
      <c r="F229" s="112"/>
      <c r="H229" s="123">
        <v>14</v>
      </c>
      <c r="I229" s="123" t="e">
        <f t="shared" ca="1" si="10"/>
        <v>#N/A</v>
      </c>
      <c r="J229" s="123" t="e">
        <f t="shared" ca="1" si="11"/>
        <v>#N/A</v>
      </c>
    </row>
    <row r="230" spans="1:10">
      <c r="A230" s="112"/>
      <c r="B230" s="121"/>
      <c r="C230" s="127"/>
      <c r="D230" s="153" t="str">
        <f ca="1">IFERROR(INDEX('入力表（利用申込のない夜間閉館）'!B$196:B$226,'様式１（区への申請用）'!J230,1),"")</f>
        <v/>
      </c>
      <c r="E230" s="154"/>
      <c r="F230" s="112"/>
      <c r="H230" s="123">
        <v>15</v>
      </c>
      <c r="I230" s="123" t="e">
        <f t="shared" ca="1" si="10"/>
        <v>#N/A</v>
      </c>
      <c r="J230" s="123" t="e">
        <f t="shared" ca="1" si="11"/>
        <v>#N/A</v>
      </c>
    </row>
    <row r="231" spans="1:10">
      <c r="A231" s="112"/>
      <c r="B231" s="121"/>
      <c r="C231" s="127"/>
      <c r="D231" s="153" t="str">
        <f ca="1">IFERROR(INDEX('入力表（利用申込のない夜間閉館）'!B$196:B$226,'様式１（区への申請用）'!J231,1),"")</f>
        <v/>
      </c>
      <c r="E231" s="154"/>
      <c r="F231" s="112"/>
      <c r="H231" s="123">
        <v>16</v>
      </c>
      <c r="I231" s="123" t="e">
        <f t="shared" ca="1" si="10"/>
        <v>#N/A</v>
      </c>
      <c r="J231" s="123" t="e">
        <f t="shared" ca="1" si="11"/>
        <v>#N/A</v>
      </c>
    </row>
    <row r="232" spans="1:10">
      <c r="A232" s="112"/>
      <c r="B232" s="121"/>
      <c r="C232" s="127"/>
      <c r="D232" s="153" t="str">
        <f ca="1">IFERROR(INDEX('入力表（利用申込のない夜間閉館）'!B$196:B$226,'様式１（区への申請用）'!J232,1),"")</f>
        <v/>
      </c>
      <c r="E232" s="154"/>
      <c r="F232" s="112"/>
      <c r="H232" s="123">
        <v>17</v>
      </c>
      <c r="I232" s="123" t="e">
        <f t="shared" ca="1" si="10"/>
        <v>#N/A</v>
      </c>
      <c r="J232" s="123" t="e">
        <f t="shared" ca="1" si="11"/>
        <v>#N/A</v>
      </c>
    </row>
    <row r="233" spans="1:10">
      <c r="A233" s="112"/>
      <c r="B233" s="121"/>
      <c r="C233" s="127"/>
      <c r="D233" s="153" t="str">
        <f ca="1">IFERROR(INDEX('入力表（利用申込のない夜間閉館）'!B$196:B$226,'様式１（区への申請用）'!J233,1),"")</f>
        <v/>
      </c>
      <c r="E233" s="154"/>
      <c r="F233" s="112"/>
      <c r="H233" s="123">
        <v>18</v>
      </c>
      <c r="I233" s="123" t="e">
        <f t="shared" ca="1" si="10"/>
        <v>#N/A</v>
      </c>
      <c r="J233" s="123" t="e">
        <f t="shared" ca="1" si="11"/>
        <v>#N/A</v>
      </c>
    </row>
    <row r="234" spans="1:10">
      <c r="A234" s="112"/>
      <c r="B234" s="121"/>
      <c r="C234" s="127"/>
      <c r="D234" s="153" t="str">
        <f ca="1">IFERROR(INDEX('入力表（利用申込のない夜間閉館）'!B$196:B$226,'様式１（区への申請用）'!J234,1),"")</f>
        <v/>
      </c>
      <c r="E234" s="154"/>
      <c r="F234" s="112"/>
      <c r="H234" s="123">
        <v>19</v>
      </c>
      <c r="I234" s="123" t="e">
        <f t="shared" ca="1" si="10"/>
        <v>#N/A</v>
      </c>
      <c r="J234" s="123" t="e">
        <f t="shared" ca="1" si="11"/>
        <v>#N/A</v>
      </c>
    </row>
    <row r="235" spans="1:10">
      <c r="A235" s="112"/>
      <c r="B235" s="121"/>
      <c r="C235" s="127"/>
      <c r="D235" s="153" t="str">
        <f ca="1">IFERROR(INDEX('入力表（利用申込のない夜間閉館）'!B$196:B$226,'様式１（区への申請用）'!J235,1),"")</f>
        <v/>
      </c>
      <c r="E235" s="154"/>
      <c r="F235" s="112"/>
      <c r="H235" s="123">
        <v>20</v>
      </c>
      <c r="I235" s="123" t="e">
        <f t="shared" ca="1" si="10"/>
        <v>#N/A</v>
      </c>
      <c r="J235" s="123" t="e">
        <f t="shared" ca="1" si="11"/>
        <v>#N/A</v>
      </c>
    </row>
    <row r="236" spans="1:10">
      <c r="A236" s="112"/>
      <c r="B236" s="121"/>
      <c r="C236" s="127"/>
      <c r="D236" s="153" t="str">
        <f ca="1">IFERROR(INDEX('入力表（利用申込のない夜間閉館）'!B$196:B$226,'様式１（区への申請用）'!J236,1),"")</f>
        <v/>
      </c>
      <c r="E236" s="154"/>
      <c r="F236" s="112"/>
      <c r="H236" s="123">
        <v>21</v>
      </c>
      <c r="I236" s="123" t="e">
        <f t="shared" ca="1" si="10"/>
        <v>#N/A</v>
      </c>
      <c r="J236" s="123" t="e">
        <f t="shared" ca="1" si="11"/>
        <v>#N/A</v>
      </c>
    </row>
    <row r="237" spans="1:10">
      <c r="A237" s="112"/>
      <c r="B237" s="121"/>
      <c r="C237" s="127"/>
      <c r="D237" s="153" t="str">
        <f ca="1">IFERROR(INDEX('入力表（利用申込のない夜間閉館）'!B$196:B$226,'様式１（区への申請用）'!J237,1),"")</f>
        <v/>
      </c>
      <c r="E237" s="154"/>
      <c r="F237" s="112"/>
      <c r="H237" s="123">
        <v>22</v>
      </c>
      <c r="I237" s="123" t="e">
        <f t="shared" ca="1" si="10"/>
        <v>#N/A</v>
      </c>
      <c r="J237" s="123" t="e">
        <f t="shared" ca="1" si="11"/>
        <v>#N/A</v>
      </c>
    </row>
    <row r="238" spans="1:10">
      <c r="A238" s="112"/>
      <c r="B238" s="121"/>
      <c r="C238" s="127"/>
      <c r="D238" s="153" t="str">
        <f ca="1">IFERROR(INDEX('入力表（利用申込のない夜間閉館）'!B$196:B$226,'様式１（区への申請用）'!J238,1),"")</f>
        <v/>
      </c>
      <c r="E238" s="154"/>
      <c r="F238" s="112"/>
      <c r="H238" s="123">
        <v>23</v>
      </c>
      <c r="I238" s="123" t="e">
        <f t="shared" ca="1" si="10"/>
        <v>#N/A</v>
      </c>
      <c r="J238" s="123" t="e">
        <f t="shared" ca="1" si="11"/>
        <v>#N/A</v>
      </c>
    </row>
    <row r="239" spans="1:10">
      <c r="A239" s="112"/>
      <c r="B239" s="121"/>
      <c r="C239" s="127"/>
      <c r="D239" s="153" t="str">
        <f ca="1">IFERROR(INDEX('入力表（利用申込のない夜間閉館）'!B$196:B$226,'様式１（区への申請用）'!J239,1),"")</f>
        <v/>
      </c>
      <c r="E239" s="154"/>
      <c r="F239" s="112"/>
      <c r="H239" s="123">
        <v>24</v>
      </c>
      <c r="I239" s="123" t="e">
        <f t="shared" ca="1" si="10"/>
        <v>#N/A</v>
      </c>
      <c r="J239" s="123" t="e">
        <f t="shared" ca="1" si="11"/>
        <v>#N/A</v>
      </c>
    </row>
    <row r="240" spans="1:10">
      <c r="A240" s="112"/>
      <c r="B240" s="121"/>
      <c r="C240" s="127"/>
      <c r="D240" s="153" t="str">
        <f ca="1">IFERROR(INDEX('入力表（利用申込のない夜間閉館）'!B$196:B$226,'様式１（区への申請用）'!J240,1),"")</f>
        <v/>
      </c>
      <c r="E240" s="154"/>
      <c r="F240" s="112"/>
      <c r="H240" s="123">
        <v>25</v>
      </c>
      <c r="I240" s="123" t="e">
        <f t="shared" ca="1" si="10"/>
        <v>#N/A</v>
      </c>
      <c r="J240" s="123" t="e">
        <f t="shared" ca="1" si="11"/>
        <v>#N/A</v>
      </c>
    </row>
    <row r="241" spans="1:10">
      <c r="A241" s="112"/>
      <c r="B241" s="121"/>
      <c r="C241" s="127"/>
      <c r="D241" s="153" t="str">
        <f ca="1">IFERROR(INDEX('入力表（利用申込のない夜間閉館）'!B$196:B$226,'様式１（区への申請用）'!J241,1),"")</f>
        <v/>
      </c>
      <c r="E241" s="154"/>
      <c r="F241" s="112"/>
      <c r="H241" s="123">
        <v>26</v>
      </c>
      <c r="I241" s="123" t="e">
        <f t="shared" ca="1" si="10"/>
        <v>#N/A</v>
      </c>
      <c r="J241" s="123" t="e">
        <f t="shared" ca="1" si="11"/>
        <v>#N/A</v>
      </c>
    </row>
    <row r="242" spans="1:10">
      <c r="A242" s="112"/>
      <c r="B242" s="128"/>
      <c r="C242" s="129"/>
      <c r="D242" s="153" t="str">
        <f ca="1">IFERROR(INDEX('入力表（利用申込のない夜間閉館）'!B$196:B$226,'様式１（区への申請用）'!J242,1),"")</f>
        <v/>
      </c>
      <c r="E242" s="154"/>
      <c r="F242" s="112"/>
      <c r="H242" s="123">
        <v>27</v>
      </c>
      <c r="I242" s="123" t="e">
        <f t="shared" ca="1" si="10"/>
        <v>#N/A</v>
      </c>
      <c r="J242" s="123" t="e">
        <f t="shared" ca="1" si="11"/>
        <v>#N/A</v>
      </c>
    </row>
    <row r="243" spans="1:10">
      <c r="A243" s="113"/>
      <c r="B243" s="112"/>
      <c r="C243" s="112"/>
      <c r="D243" s="112"/>
      <c r="E243" s="112"/>
      <c r="F243" s="112"/>
      <c r="H243" s="123">
        <v>28</v>
      </c>
      <c r="I243" s="123" t="e">
        <f t="shared" ca="1" si="10"/>
        <v>#N/A</v>
      </c>
      <c r="J243" s="123" t="e">
        <f t="shared" ca="1" si="11"/>
        <v>#N/A</v>
      </c>
    </row>
    <row r="244" spans="1:10">
      <c r="A244" s="112"/>
      <c r="B244" s="130"/>
      <c r="C244" s="130"/>
      <c r="D244" s="112"/>
      <c r="E244" s="112"/>
      <c r="F244" s="130"/>
      <c r="H244" s="123">
        <v>29</v>
      </c>
      <c r="I244" s="123" t="e">
        <f t="shared" ca="1" si="10"/>
        <v>#N/A</v>
      </c>
      <c r="J244" s="123" t="e">
        <f t="shared" ca="1" si="11"/>
        <v>#N/A</v>
      </c>
    </row>
    <row r="245" spans="1:10">
      <c r="A245" s="130" t="str">
        <f>A204</f>
        <v>・原則として、１月分まとめて提出してください。</v>
      </c>
      <c r="B245" s="112"/>
      <c r="C245" s="112"/>
      <c r="D245" s="112"/>
      <c r="E245" s="112"/>
      <c r="F245" s="112"/>
      <c r="H245" s="123">
        <v>30</v>
      </c>
      <c r="I245" s="123" t="e">
        <f t="shared" ca="1" si="10"/>
        <v>#N/A</v>
      </c>
      <c r="J245" s="123" t="e">
        <f t="shared" ca="1" si="11"/>
        <v>#N/A</v>
      </c>
    </row>
    <row r="246" spans="1:10">
      <c r="A246" s="131"/>
      <c r="B246" s="112"/>
      <c r="C246" s="112"/>
      <c r="D246" s="112"/>
      <c r="E246" s="112"/>
      <c r="F246" s="112"/>
      <c r="H246" s="123">
        <v>31</v>
      </c>
      <c r="I246" s="123" t="e">
        <f t="shared" ca="1" si="10"/>
        <v>#N/A</v>
      </c>
      <c r="J246" s="123" t="e">
        <f t="shared" ca="1" si="11"/>
        <v>#N/A</v>
      </c>
    </row>
    <row r="247" spans="1:10">
      <c r="A247" s="109" t="str">
        <f>$A$1</f>
        <v>様式１（第２条第２項第２号）</v>
      </c>
      <c r="B247" s="109"/>
      <c r="C247" s="109"/>
      <c r="D247" s="109"/>
      <c r="E247" s="109"/>
      <c r="F247" s="109"/>
    </row>
    <row r="248" spans="1:10" ht="10.5" customHeight="1">
      <c r="A248" s="110"/>
    </row>
    <row r="249" spans="1:10">
      <c r="A249" s="157" t="str">
        <f>$A$3</f>
        <v>夜間閉館申請書</v>
      </c>
      <c r="B249" s="157"/>
      <c r="C249" s="157"/>
      <c r="D249" s="157"/>
      <c r="E249" s="157"/>
      <c r="F249" s="157"/>
    </row>
    <row r="250" spans="1:10">
      <c r="A250" s="111"/>
      <c r="B250" s="112"/>
      <c r="C250" s="112"/>
      <c r="D250" s="112"/>
      <c r="E250" s="112"/>
      <c r="F250" s="135" t="s">
        <v>98</v>
      </c>
    </row>
    <row r="251" spans="1:10">
      <c r="A251" s="113" t="str">
        <f>$A$5</f>
        <v>（申請先）</v>
      </c>
      <c r="B251" s="112"/>
      <c r="C251" s="112"/>
      <c r="D251" s="112"/>
      <c r="E251" s="112"/>
      <c r="F251" s="112"/>
    </row>
    <row r="252" spans="1:10">
      <c r="A252" s="114" t="str">
        <f>A6</f>
        <v>磯子</v>
      </c>
      <c r="B252" s="112" t="s">
        <v>82</v>
      </c>
      <c r="C252" s="112"/>
      <c r="D252" s="112"/>
      <c r="E252" s="112"/>
      <c r="F252" s="112"/>
    </row>
    <row r="253" spans="1:10">
      <c r="A253" s="112"/>
      <c r="B253" s="112"/>
      <c r="C253" s="112"/>
      <c r="D253" s="112"/>
      <c r="E253" s="132" t="str">
        <f>E7</f>
        <v>洋光台</v>
      </c>
      <c r="F253" s="112" t="s">
        <v>83</v>
      </c>
    </row>
    <row r="254" spans="1:10" ht="12.75" customHeight="1">
      <c r="A254" s="113"/>
      <c r="B254" s="112"/>
      <c r="C254" s="112"/>
      <c r="D254" s="112"/>
      <c r="E254" s="112"/>
      <c r="F254" s="112"/>
      <c r="H254">
        <f>H213+$J$8</f>
        <v>234</v>
      </c>
    </row>
    <row r="255" spans="1:10" ht="57.75" customHeight="1" thickBot="1">
      <c r="A255" s="158" t="str">
        <f>A214</f>
        <v>　月曜日から土曜日の午後６時から午後９時（以下「夜間」という。）の施設利用の申込について、横浜市地域ケアプラザ施設使用及び目的外使用に関する要綱（以下「施設使用要綱」という。）第７条及び第８条に定める手続きが行われていない日のうち、次の日の夜間閉館を申請します。</v>
      </c>
      <c r="B255" s="158"/>
      <c r="C255" s="158"/>
      <c r="D255" s="158"/>
      <c r="E255" s="158"/>
      <c r="F255" s="158"/>
      <c r="H255">
        <f>H214+$J$8</f>
        <v>264</v>
      </c>
    </row>
    <row r="256" spans="1:10" s="115" customFormat="1" ht="19.5" thickBot="1">
      <c r="A256" s="116"/>
      <c r="B256" s="159" t="str">
        <f>B215</f>
        <v>年月</v>
      </c>
      <c r="C256" s="160"/>
      <c r="D256" s="117" t="str">
        <f>D215</f>
        <v>日</v>
      </c>
      <c r="E256" s="118" t="str">
        <f>E215</f>
        <v>（曜日）</v>
      </c>
      <c r="F256" s="116"/>
      <c r="H256" s="119" t="s">
        <v>65</v>
      </c>
      <c r="I256" s="120" t="s">
        <v>63</v>
      </c>
      <c r="J256" s="120" t="s">
        <v>64</v>
      </c>
    </row>
    <row r="257" spans="1:15">
      <c r="A257" s="112"/>
      <c r="B257" s="121" t="str">
        <f>$B$11</f>
        <v>令和７年</v>
      </c>
      <c r="C257" s="122" t="s">
        <v>71</v>
      </c>
      <c r="D257" s="155">
        <f>IFERROR(INDEX('入力表（利用申込のない夜間閉館）'!B$234:B$264,'様式１（区への申請用）'!J257,1),"")</f>
        <v>45932</v>
      </c>
      <c r="E257" s="156"/>
      <c r="F257" s="112"/>
      <c r="H257" s="123">
        <v>1</v>
      </c>
      <c r="I257" s="124">
        <f>MATCH("利用申込のない夜間閉館",'入力表（利用申込のない夜間閉館）'!E234:E264,0)</f>
        <v>2</v>
      </c>
      <c r="J257" s="124">
        <f>I257</f>
        <v>2</v>
      </c>
      <c r="L257" s="115"/>
      <c r="M257" s="115"/>
      <c r="O257" s="125"/>
    </row>
    <row r="258" spans="1:15">
      <c r="A258" s="112"/>
      <c r="B258" s="126">
        <f>$B$12</f>
        <v>2025</v>
      </c>
      <c r="C258" s="122"/>
      <c r="D258" s="153">
        <f ca="1">IFERROR(INDEX('入力表（利用申込のない夜間閉館）'!B$234:B$264,'様式１（区への申請用）'!J258,1),"")</f>
        <v>45936</v>
      </c>
      <c r="E258" s="154"/>
      <c r="F258" s="112"/>
      <c r="H258" s="123">
        <v>2</v>
      </c>
      <c r="I258" s="123">
        <f ca="1">MATCH("利用申込のない夜間閉館",INDIRECT("'入力表（利用申込のない夜間閉館）'!E"&amp;234+J257&amp;":e264"),0)</f>
        <v>4</v>
      </c>
      <c r="J258" s="123">
        <f ca="1">SUM(I257+I258)</f>
        <v>6</v>
      </c>
      <c r="O258" s="125"/>
    </row>
    <row r="259" spans="1:15">
      <c r="A259" s="112"/>
      <c r="B259" s="121"/>
      <c r="C259" s="122"/>
      <c r="D259" s="153">
        <f ca="1">IFERROR(INDEX('入力表（利用申込のない夜間閉館）'!B$234:B$264,'様式１（区への申請用）'!J259,1),"")</f>
        <v>45937</v>
      </c>
      <c r="E259" s="154"/>
      <c r="F259" s="112"/>
      <c r="H259" s="123">
        <v>3</v>
      </c>
      <c r="I259" s="123">
        <f t="shared" ref="I259:I287" ca="1" si="12">MATCH("利用申込のない夜間閉館",INDIRECT("'入力表（利用申込のない夜間閉館）'!E"&amp;234+J258&amp;":e264"),0)</f>
        <v>1</v>
      </c>
      <c r="J259" s="123">
        <f ca="1">SUM(J258+I259)</f>
        <v>7</v>
      </c>
      <c r="O259" s="125"/>
    </row>
    <row r="260" spans="1:15">
      <c r="A260" s="112"/>
      <c r="B260" s="121"/>
      <c r="C260" s="127"/>
      <c r="D260" s="153">
        <f ca="1">IFERROR(INDEX('入力表（利用申込のない夜間閉館）'!B$234:B$264,'様式１（区への申請用）'!J260,1),"")</f>
        <v>45939</v>
      </c>
      <c r="E260" s="154"/>
      <c r="F260" s="112"/>
      <c r="H260" s="123">
        <v>4</v>
      </c>
      <c r="I260" s="123">
        <f t="shared" ca="1" si="12"/>
        <v>2</v>
      </c>
      <c r="J260" s="123">
        <f t="shared" ref="J260:J287" ca="1" si="13">SUM(J259+I260)</f>
        <v>9</v>
      </c>
      <c r="O260" s="125"/>
    </row>
    <row r="261" spans="1:15">
      <c r="A261" s="112"/>
      <c r="B261" s="121"/>
      <c r="C261" s="127"/>
      <c r="D261" s="153">
        <f ca="1">IFERROR(INDEX('入力表（利用申込のない夜間閉館）'!B$234:B$264,'様式１（区への申請用）'!J261,1),"")</f>
        <v>45941</v>
      </c>
      <c r="E261" s="154"/>
      <c r="F261" s="112"/>
      <c r="H261" s="123">
        <v>5</v>
      </c>
      <c r="I261" s="123">
        <f t="shared" ca="1" si="12"/>
        <v>2</v>
      </c>
      <c r="J261" s="123">
        <f t="shared" ca="1" si="13"/>
        <v>11</v>
      </c>
      <c r="O261" s="125"/>
    </row>
    <row r="262" spans="1:15">
      <c r="A262" s="112"/>
      <c r="B262" s="121"/>
      <c r="C262" s="127"/>
      <c r="D262" s="153">
        <f ca="1">IFERROR(INDEX('入力表（利用申込のない夜間閉館）'!B$234:B$264,'様式１（区への申請用）'!J262,1),"")</f>
        <v>45951</v>
      </c>
      <c r="E262" s="154"/>
      <c r="F262" s="112"/>
      <c r="H262" s="123">
        <v>6</v>
      </c>
      <c r="I262" s="123">
        <f t="shared" ca="1" si="12"/>
        <v>10</v>
      </c>
      <c r="J262" s="123">
        <f t="shared" ca="1" si="13"/>
        <v>21</v>
      </c>
      <c r="O262" s="125"/>
    </row>
    <row r="263" spans="1:15">
      <c r="A263" s="112"/>
      <c r="B263" s="121"/>
      <c r="C263" s="127"/>
      <c r="D263" s="153">
        <f ca="1">IFERROR(INDEX('入力表（利用申込のない夜間閉館）'!B$234:B$264,'様式１（区への申請用）'!J263,1),"")</f>
        <v>45953</v>
      </c>
      <c r="E263" s="154"/>
      <c r="F263" s="112"/>
      <c r="H263" s="123">
        <v>7</v>
      </c>
      <c r="I263" s="123">
        <f t="shared" ca="1" si="12"/>
        <v>2</v>
      </c>
      <c r="J263" s="123">
        <f t="shared" ca="1" si="13"/>
        <v>23</v>
      </c>
      <c r="O263" s="125"/>
    </row>
    <row r="264" spans="1:15">
      <c r="A264" s="112"/>
      <c r="B264" s="121"/>
      <c r="C264" s="127"/>
      <c r="D264" s="153">
        <f ca="1">IFERROR(INDEX('入力表（利用申込のない夜間閉館）'!B$234:B$264,'様式１（区への申請用）'!J264,1),"")</f>
        <v>45955</v>
      </c>
      <c r="E264" s="154"/>
      <c r="F264" s="112"/>
      <c r="H264" s="123">
        <v>8</v>
      </c>
      <c r="I264" s="123">
        <f t="shared" ca="1" si="12"/>
        <v>2</v>
      </c>
      <c r="J264" s="123">
        <f t="shared" ca="1" si="13"/>
        <v>25</v>
      </c>
    </row>
    <row r="265" spans="1:15">
      <c r="A265" s="112"/>
      <c r="B265" s="121"/>
      <c r="C265" s="127"/>
      <c r="D265" s="153">
        <f ca="1">IFERROR(INDEX('入力表（利用申込のない夜間閉館）'!B$234:B$264,'様式１（区への申請用）'!J265,1),"")</f>
        <v>45960</v>
      </c>
      <c r="E265" s="154"/>
      <c r="F265" s="112"/>
      <c r="H265" s="123">
        <v>9</v>
      </c>
      <c r="I265" s="123">
        <f t="shared" ca="1" si="12"/>
        <v>5</v>
      </c>
      <c r="J265" s="123">
        <f t="shared" ca="1" si="13"/>
        <v>30</v>
      </c>
    </row>
    <row r="266" spans="1:15">
      <c r="A266" s="112"/>
      <c r="B266" s="121"/>
      <c r="C266" s="127"/>
      <c r="D266" s="153" t="str">
        <f ca="1">IFERROR(INDEX('入力表（利用申込のない夜間閉館）'!B$234:B$264,'様式１（区への申請用）'!J266,1),"")</f>
        <v/>
      </c>
      <c r="E266" s="154"/>
      <c r="F266" s="112"/>
      <c r="H266" s="123">
        <v>10</v>
      </c>
      <c r="I266" s="123" t="e">
        <f t="shared" ca="1" si="12"/>
        <v>#N/A</v>
      </c>
      <c r="J266" s="123" t="e">
        <f t="shared" ca="1" si="13"/>
        <v>#N/A</v>
      </c>
    </row>
    <row r="267" spans="1:15">
      <c r="A267" s="112"/>
      <c r="B267" s="121"/>
      <c r="C267" s="127"/>
      <c r="D267" s="153" t="str">
        <f ca="1">IFERROR(INDEX('入力表（利用申込のない夜間閉館）'!B$234:B$264,'様式１（区への申請用）'!J267,1),"")</f>
        <v/>
      </c>
      <c r="E267" s="154"/>
      <c r="F267" s="112"/>
      <c r="H267" s="123">
        <v>11</v>
      </c>
      <c r="I267" s="123" t="e">
        <f t="shared" ca="1" si="12"/>
        <v>#N/A</v>
      </c>
      <c r="J267" s="123" t="e">
        <f t="shared" ca="1" si="13"/>
        <v>#N/A</v>
      </c>
    </row>
    <row r="268" spans="1:15">
      <c r="A268" s="112"/>
      <c r="B268" s="121"/>
      <c r="C268" s="127"/>
      <c r="D268" s="153" t="str">
        <f ca="1">IFERROR(INDEX('入力表（利用申込のない夜間閉館）'!B$234:B$264,'様式１（区への申請用）'!J268,1),"")</f>
        <v/>
      </c>
      <c r="E268" s="154"/>
      <c r="F268" s="112"/>
      <c r="H268" s="123">
        <v>12</v>
      </c>
      <c r="I268" s="123" t="e">
        <f t="shared" ca="1" si="12"/>
        <v>#N/A</v>
      </c>
      <c r="J268" s="123" t="e">
        <f t="shared" ca="1" si="13"/>
        <v>#N/A</v>
      </c>
    </row>
    <row r="269" spans="1:15">
      <c r="A269" s="112"/>
      <c r="B269" s="121"/>
      <c r="C269" s="127"/>
      <c r="D269" s="153" t="str">
        <f ca="1">IFERROR(INDEX('入力表（利用申込のない夜間閉館）'!B$234:B$264,'様式１（区への申請用）'!J269,1),"")</f>
        <v/>
      </c>
      <c r="E269" s="154"/>
      <c r="F269" s="112"/>
      <c r="H269" s="123">
        <v>13</v>
      </c>
      <c r="I269" s="123" t="e">
        <f t="shared" ca="1" si="12"/>
        <v>#N/A</v>
      </c>
      <c r="J269" s="123" t="e">
        <f t="shared" ca="1" si="13"/>
        <v>#N/A</v>
      </c>
    </row>
    <row r="270" spans="1:15">
      <c r="A270" s="112"/>
      <c r="B270" s="121"/>
      <c r="C270" s="127"/>
      <c r="D270" s="153" t="str">
        <f ca="1">IFERROR(INDEX('入力表（利用申込のない夜間閉館）'!B$234:B$264,'様式１（区への申請用）'!J270,1),"")</f>
        <v/>
      </c>
      <c r="E270" s="154"/>
      <c r="F270" s="112"/>
      <c r="H270" s="123">
        <v>14</v>
      </c>
      <c r="I270" s="123" t="e">
        <f t="shared" ca="1" si="12"/>
        <v>#N/A</v>
      </c>
      <c r="J270" s="123" t="e">
        <f t="shared" ca="1" si="13"/>
        <v>#N/A</v>
      </c>
    </row>
    <row r="271" spans="1:15">
      <c r="A271" s="112"/>
      <c r="B271" s="121"/>
      <c r="C271" s="127"/>
      <c r="D271" s="153" t="str">
        <f ca="1">IFERROR(INDEX('入力表（利用申込のない夜間閉館）'!B$234:B$264,'様式１（区への申請用）'!J271,1),"")</f>
        <v/>
      </c>
      <c r="E271" s="154"/>
      <c r="F271" s="112"/>
      <c r="H271" s="123">
        <v>15</v>
      </c>
      <c r="I271" s="123" t="e">
        <f t="shared" ca="1" si="12"/>
        <v>#N/A</v>
      </c>
      <c r="J271" s="123" t="e">
        <f t="shared" ca="1" si="13"/>
        <v>#N/A</v>
      </c>
    </row>
    <row r="272" spans="1:15">
      <c r="A272" s="112"/>
      <c r="B272" s="121"/>
      <c r="C272" s="127"/>
      <c r="D272" s="153" t="str">
        <f ca="1">IFERROR(INDEX('入力表（利用申込のない夜間閉館）'!B$234:B$264,'様式１（区への申請用）'!J272,1),"")</f>
        <v/>
      </c>
      <c r="E272" s="154"/>
      <c r="F272" s="112"/>
      <c r="H272" s="123">
        <v>16</v>
      </c>
      <c r="I272" s="123" t="e">
        <f t="shared" ca="1" si="12"/>
        <v>#N/A</v>
      </c>
      <c r="J272" s="123" t="e">
        <f t="shared" ca="1" si="13"/>
        <v>#N/A</v>
      </c>
    </row>
    <row r="273" spans="1:10">
      <c r="A273" s="112"/>
      <c r="B273" s="121"/>
      <c r="C273" s="127"/>
      <c r="D273" s="153" t="str">
        <f ca="1">IFERROR(INDEX('入力表（利用申込のない夜間閉館）'!B$234:B$264,'様式１（区への申請用）'!J273,1),"")</f>
        <v/>
      </c>
      <c r="E273" s="154"/>
      <c r="F273" s="112"/>
      <c r="H273" s="123">
        <v>17</v>
      </c>
      <c r="I273" s="123" t="e">
        <f t="shared" ca="1" si="12"/>
        <v>#N/A</v>
      </c>
      <c r="J273" s="123" t="e">
        <f t="shared" ca="1" si="13"/>
        <v>#N/A</v>
      </c>
    </row>
    <row r="274" spans="1:10">
      <c r="A274" s="112"/>
      <c r="B274" s="121"/>
      <c r="C274" s="127"/>
      <c r="D274" s="153" t="str">
        <f ca="1">IFERROR(INDEX('入力表（利用申込のない夜間閉館）'!B$234:B$264,'様式１（区への申請用）'!J274,1),"")</f>
        <v/>
      </c>
      <c r="E274" s="154"/>
      <c r="F274" s="112"/>
      <c r="H274" s="123">
        <v>18</v>
      </c>
      <c r="I274" s="123" t="e">
        <f t="shared" ca="1" si="12"/>
        <v>#N/A</v>
      </c>
      <c r="J274" s="123" t="e">
        <f t="shared" ca="1" si="13"/>
        <v>#N/A</v>
      </c>
    </row>
    <row r="275" spans="1:10">
      <c r="A275" s="112"/>
      <c r="B275" s="121"/>
      <c r="C275" s="127"/>
      <c r="D275" s="153" t="str">
        <f ca="1">IFERROR(INDEX('入力表（利用申込のない夜間閉館）'!B$234:B$264,'様式１（区への申請用）'!J275,1),"")</f>
        <v/>
      </c>
      <c r="E275" s="154"/>
      <c r="F275" s="112"/>
      <c r="H275" s="123">
        <v>19</v>
      </c>
      <c r="I275" s="123" t="e">
        <f t="shared" ca="1" si="12"/>
        <v>#N/A</v>
      </c>
      <c r="J275" s="123" t="e">
        <f t="shared" ca="1" si="13"/>
        <v>#N/A</v>
      </c>
    </row>
    <row r="276" spans="1:10">
      <c r="A276" s="112"/>
      <c r="B276" s="121"/>
      <c r="C276" s="127"/>
      <c r="D276" s="153" t="str">
        <f ca="1">IFERROR(INDEX('入力表（利用申込のない夜間閉館）'!B$234:B$264,'様式１（区への申請用）'!J276,1),"")</f>
        <v/>
      </c>
      <c r="E276" s="154"/>
      <c r="F276" s="112"/>
      <c r="H276" s="123">
        <v>20</v>
      </c>
      <c r="I276" s="123" t="e">
        <f t="shared" ca="1" si="12"/>
        <v>#N/A</v>
      </c>
      <c r="J276" s="123" t="e">
        <f t="shared" ca="1" si="13"/>
        <v>#N/A</v>
      </c>
    </row>
    <row r="277" spans="1:10">
      <c r="A277" s="112"/>
      <c r="B277" s="121"/>
      <c r="C277" s="127"/>
      <c r="D277" s="153" t="str">
        <f ca="1">IFERROR(INDEX('入力表（利用申込のない夜間閉館）'!B$234:B$264,'様式１（区への申請用）'!J277,1),"")</f>
        <v/>
      </c>
      <c r="E277" s="154"/>
      <c r="F277" s="112"/>
      <c r="H277" s="123">
        <v>21</v>
      </c>
      <c r="I277" s="123" t="e">
        <f t="shared" ca="1" si="12"/>
        <v>#N/A</v>
      </c>
      <c r="J277" s="123" t="e">
        <f t="shared" ca="1" si="13"/>
        <v>#N/A</v>
      </c>
    </row>
    <row r="278" spans="1:10">
      <c r="A278" s="112"/>
      <c r="B278" s="121"/>
      <c r="C278" s="127"/>
      <c r="D278" s="153" t="str">
        <f ca="1">IFERROR(INDEX('入力表（利用申込のない夜間閉館）'!B$234:B$264,'様式１（区への申請用）'!J278,1),"")</f>
        <v/>
      </c>
      <c r="E278" s="154"/>
      <c r="F278" s="112"/>
      <c r="H278" s="123">
        <v>22</v>
      </c>
      <c r="I278" s="123" t="e">
        <f t="shared" ca="1" si="12"/>
        <v>#N/A</v>
      </c>
      <c r="J278" s="123" t="e">
        <f t="shared" ca="1" si="13"/>
        <v>#N/A</v>
      </c>
    </row>
    <row r="279" spans="1:10">
      <c r="A279" s="112"/>
      <c r="B279" s="121"/>
      <c r="C279" s="127"/>
      <c r="D279" s="153" t="str">
        <f ca="1">IFERROR(INDEX('入力表（利用申込のない夜間閉館）'!B$234:B$264,'様式１（区への申請用）'!J279,1),"")</f>
        <v/>
      </c>
      <c r="E279" s="154"/>
      <c r="F279" s="112"/>
      <c r="H279" s="123">
        <v>23</v>
      </c>
      <c r="I279" s="123" t="e">
        <f t="shared" ca="1" si="12"/>
        <v>#N/A</v>
      </c>
      <c r="J279" s="123" t="e">
        <f t="shared" ca="1" si="13"/>
        <v>#N/A</v>
      </c>
    </row>
    <row r="280" spans="1:10">
      <c r="A280" s="112"/>
      <c r="B280" s="121"/>
      <c r="C280" s="127"/>
      <c r="D280" s="153" t="str">
        <f ca="1">IFERROR(INDEX('入力表（利用申込のない夜間閉館）'!B$234:B$264,'様式１（区への申請用）'!J280,1),"")</f>
        <v/>
      </c>
      <c r="E280" s="154"/>
      <c r="F280" s="112"/>
      <c r="H280" s="123">
        <v>24</v>
      </c>
      <c r="I280" s="123" t="e">
        <f t="shared" ca="1" si="12"/>
        <v>#N/A</v>
      </c>
      <c r="J280" s="123" t="e">
        <f t="shared" ca="1" si="13"/>
        <v>#N/A</v>
      </c>
    </row>
    <row r="281" spans="1:10">
      <c r="A281" s="112"/>
      <c r="B281" s="121"/>
      <c r="C281" s="127"/>
      <c r="D281" s="153" t="str">
        <f ca="1">IFERROR(INDEX('入力表（利用申込のない夜間閉館）'!B$234:B$264,'様式１（区への申請用）'!J281,1),"")</f>
        <v/>
      </c>
      <c r="E281" s="154"/>
      <c r="F281" s="112"/>
      <c r="H281" s="123">
        <v>25</v>
      </c>
      <c r="I281" s="123" t="e">
        <f t="shared" ca="1" si="12"/>
        <v>#N/A</v>
      </c>
      <c r="J281" s="123" t="e">
        <f t="shared" ca="1" si="13"/>
        <v>#N/A</v>
      </c>
    </row>
    <row r="282" spans="1:10">
      <c r="A282" s="112"/>
      <c r="B282" s="121"/>
      <c r="C282" s="127"/>
      <c r="D282" s="153" t="str">
        <f ca="1">IFERROR(INDEX('入力表（利用申込のない夜間閉館）'!B$234:B$264,'様式１（区への申請用）'!J282,1),"")</f>
        <v/>
      </c>
      <c r="E282" s="154"/>
      <c r="F282" s="112"/>
      <c r="H282" s="123">
        <v>26</v>
      </c>
      <c r="I282" s="123" t="e">
        <f t="shared" ca="1" si="12"/>
        <v>#N/A</v>
      </c>
      <c r="J282" s="123" t="e">
        <f t="shared" ca="1" si="13"/>
        <v>#N/A</v>
      </c>
    </row>
    <row r="283" spans="1:10">
      <c r="A283" s="112"/>
      <c r="B283" s="128"/>
      <c r="C283" s="129"/>
      <c r="D283" s="153" t="str">
        <f ca="1">IFERROR(INDEX('入力表（利用申込のない夜間閉館）'!B$234:B$264,'様式１（区への申請用）'!J283,1),"")</f>
        <v/>
      </c>
      <c r="E283" s="154"/>
      <c r="F283" s="112"/>
      <c r="H283" s="123">
        <v>27</v>
      </c>
      <c r="I283" s="123" t="e">
        <f t="shared" ca="1" si="12"/>
        <v>#N/A</v>
      </c>
      <c r="J283" s="123" t="e">
        <f t="shared" ca="1" si="13"/>
        <v>#N/A</v>
      </c>
    </row>
    <row r="284" spans="1:10">
      <c r="A284" s="113"/>
      <c r="B284" s="112"/>
      <c r="C284" s="112"/>
      <c r="D284" s="112"/>
      <c r="E284" s="112"/>
      <c r="F284" s="112"/>
      <c r="H284" s="123">
        <v>28</v>
      </c>
      <c r="I284" s="123" t="e">
        <f t="shared" ca="1" si="12"/>
        <v>#N/A</v>
      </c>
      <c r="J284" s="123" t="e">
        <f t="shared" ca="1" si="13"/>
        <v>#N/A</v>
      </c>
    </row>
    <row r="285" spans="1:10">
      <c r="A285" s="112"/>
      <c r="B285" s="130"/>
      <c r="C285" s="130"/>
      <c r="D285" s="112"/>
      <c r="E285" s="112"/>
      <c r="F285" s="130"/>
      <c r="H285" s="123">
        <v>29</v>
      </c>
      <c r="I285" s="123" t="e">
        <f t="shared" ca="1" si="12"/>
        <v>#N/A</v>
      </c>
      <c r="J285" s="123" t="e">
        <f t="shared" ca="1" si="13"/>
        <v>#N/A</v>
      </c>
    </row>
    <row r="286" spans="1:10">
      <c r="A286" s="130" t="str">
        <f>A245</f>
        <v>・原則として、１月分まとめて提出してください。</v>
      </c>
      <c r="B286" s="112"/>
      <c r="C286" s="112"/>
      <c r="D286" s="112"/>
      <c r="E286" s="112"/>
      <c r="F286" s="112"/>
      <c r="H286" s="123">
        <v>30</v>
      </c>
      <c r="I286" s="123" t="e">
        <f t="shared" ca="1" si="12"/>
        <v>#N/A</v>
      </c>
      <c r="J286" s="123" t="e">
        <f t="shared" ca="1" si="13"/>
        <v>#N/A</v>
      </c>
    </row>
    <row r="287" spans="1:10">
      <c r="A287" s="131"/>
      <c r="B287" s="112"/>
      <c r="C287" s="112"/>
      <c r="D287" s="112"/>
      <c r="E287" s="112"/>
      <c r="F287" s="112"/>
      <c r="H287" s="123">
        <v>31</v>
      </c>
      <c r="I287" s="123" t="e">
        <f t="shared" ca="1" si="12"/>
        <v>#N/A</v>
      </c>
      <c r="J287" s="123" t="e">
        <f t="shared" ca="1" si="13"/>
        <v>#N/A</v>
      </c>
    </row>
    <row r="288" spans="1:10">
      <c r="A288" s="109" t="str">
        <f>$A$1</f>
        <v>様式１（第２条第２項第２号）</v>
      </c>
      <c r="B288" s="109"/>
      <c r="C288" s="109"/>
      <c r="D288" s="109"/>
      <c r="E288" s="109"/>
      <c r="F288" s="109"/>
    </row>
    <row r="289" spans="1:15" ht="10.5" customHeight="1">
      <c r="A289" s="110"/>
    </row>
    <row r="290" spans="1:15">
      <c r="A290" s="157" t="str">
        <f>$A$3</f>
        <v>夜間閉館申請書</v>
      </c>
      <c r="B290" s="157"/>
      <c r="C290" s="157"/>
      <c r="D290" s="157"/>
      <c r="E290" s="157"/>
      <c r="F290" s="157"/>
    </row>
    <row r="291" spans="1:15">
      <c r="A291" s="111"/>
      <c r="B291" s="112"/>
      <c r="C291" s="112"/>
      <c r="D291" s="112"/>
      <c r="E291" s="112"/>
      <c r="F291" s="135" t="s">
        <v>98</v>
      </c>
    </row>
    <row r="292" spans="1:15">
      <c r="A292" s="113" t="str">
        <f>$A$5</f>
        <v>（申請先）</v>
      </c>
      <c r="B292" s="112"/>
      <c r="C292" s="112"/>
      <c r="D292" s="112"/>
      <c r="E292" s="112"/>
      <c r="F292" s="112"/>
    </row>
    <row r="293" spans="1:15">
      <c r="A293" s="114" t="str">
        <f>A6</f>
        <v>磯子</v>
      </c>
      <c r="B293" s="112" t="s">
        <v>82</v>
      </c>
      <c r="C293" s="112"/>
      <c r="D293" s="112"/>
      <c r="E293" s="112"/>
      <c r="F293" s="112"/>
    </row>
    <row r="294" spans="1:15">
      <c r="A294" s="112"/>
      <c r="B294" s="112"/>
      <c r="C294" s="112"/>
      <c r="D294" s="112"/>
      <c r="E294" s="132" t="str">
        <f>E7</f>
        <v>洋光台</v>
      </c>
      <c r="F294" s="112" t="s">
        <v>83</v>
      </c>
    </row>
    <row r="295" spans="1:15" ht="12.75" customHeight="1">
      <c r="A295" s="113"/>
      <c r="B295" s="112"/>
      <c r="C295" s="112"/>
      <c r="D295" s="112"/>
      <c r="E295" s="112"/>
      <c r="F295" s="112"/>
      <c r="H295">
        <f>H254+$J$8</f>
        <v>272</v>
      </c>
    </row>
    <row r="296" spans="1:15" ht="57.75" customHeight="1" thickBot="1">
      <c r="A296" s="158" t="str">
        <f>A255</f>
        <v>　月曜日から土曜日の午後６時から午後９時（以下「夜間」という。）の施設利用の申込について、横浜市地域ケアプラザ施設使用及び目的外使用に関する要綱（以下「施設使用要綱」という。）第７条及び第８条に定める手続きが行われていない日のうち、次の日の夜間閉館を申請します。</v>
      </c>
      <c r="B296" s="158"/>
      <c r="C296" s="158"/>
      <c r="D296" s="158"/>
      <c r="E296" s="158"/>
      <c r="F296" s="158"/>
      <c r="H296">
        <f>H255+$J$8</f>
        <v>302</v>
      </c>
    </row>
    <row r="297" spans="1:15" s="115" customFormat="1" ht="19.5" thickBot="1">
      <c r="A297" s="116"/>
      <c r="B297" s="159" t="str">
        <f>B256</f>
        <v>年月</v>
      </c>
      <c r="C297" s="160"/>
      <c r="D297" s="117" t="str">
        <f>D256</f>
        <v>日</v>
      </c>
      <c r="E297" s="118" t="str">
        <f>E256</f>
        <v>（曜日）</v>
      </c>
      <c r="F297" s="116"/>
      <c r="H297" s="119" t="s">
        <v>65</v>
      </c>
      <c r="I297" s="120" t="s">
        <v>63</v>
      </c>
      <c r="J297" s="120" t="s">
        <v>64</v>
      </c>
    </row>
    <row r="298" spans="1:15">
      <c r="A298" s="112"/>
      <c r="B298" s="121" t="str">
        <f>$B$11</f>
        <v>令和７年</v>
      </c>
      <c r="C298" s="122" t="s">
        <v>72</v>
      </c>
      <c r="D298" s="155">
        <f>IFERROR(INDEX('入力表（利用申込のない夜間閉館）'!B$272:B$302,'様式１（区への申請用）'!J298,1),"")</f>
        <v>45962</v>
      </c>
      <c r="E298" s="156"/>
      <c r="F298" s="112"/>
      <c r="H298" s="123">
        <v>1</v>
      </c>
      <c r="I298" s="124">
        <f>MATCH("利用申込のない夜間閉館",'入力表（利用申込のない夜間閉館）'!E272:E302,0)</f>
        <v>1</v>
      </c>
      <c r="J298" s="124">
        <f>I298</f>
        <v>1</v>
      </c>
      <c r="L298" s="115"/>
      <c r="M298" s="115"/>
      <c r="O298" s="125"/>
    </row>
    <row r="299" spans="1:15">
      <c r="A299" s="112"/>
      <c r="B299" s="126">
        <f>$B$12</f>
        <v>2025</v>
      </c>
      <c r="C299" s="122"/>
      <c r="D299" s="153">
        <f ca="1">IFERROR(INDEX('入力表（利用申込のない夜間閉館）'!B$272:B$302,'様式１（区への申請用）'!J299,1),"")</f>
        <v>45965</v>
      </c>
      <c r="E299" s="154"/>
      <c r="F299" s="112"/>
      <c r="H299" s="123">
        <v>2</v>
      </c>
      <c r="I299" s="123">
        <f ca="1">MATCH("利用申込のない夜間閉館",INDIRECT("'入力表（利用申込のない夜間閉館）'!E"&amp;272+J298&amp;":e302"),0)</f>
        <v>3</v>
      </c>
      <c r="J299" s="123">
        <f ca="1">SUM(I298+I299)</f>
        <v>4</v>
      </c>
      <c r="O299" s="125"/>
    </row>
    <row r="300" spans="1:15">
      <c r="A300" s="112"/>
      <c r="B300" s="121"/>
      <c r="C300" s="122"/>
      <c r="D300" s="153">
        <f ca="1">IFERROR(INDEX('入力表（利用申込のない夜間閉館）'!B$272:B$302,'様式１（区への申請用）'!J300,1),"")</f>
        <v>45967</v>
      </c>
      <c r="E300" s="154"/>
      <c r="F300" s="112"/>
      <c r="H300" s="123">
        <v>3</v>
      </c>
      <c r="I300" s="123">
        <f t="shared" ref="I300:I328" ca="1" si="14">MATCH("利用申込のない夜間閉館",INDIRECT("'入力表（利用申込のない夜間閉館）'!E"&amp;272+J299&amp;":e302"),0)</f>
        <v>2</v>
      </c>
      <c r="J300" s="123">
        <f ca="1">SUM(J299+I300)</f>
        <v>6</v>
      </c>
      <c r="O300" s="125"/>
    </row>
    <row r="301" spans="1:15">
      <c r="A301" s="112"/>
      <c r="B301" s="121"/>
      <c r="C301" s="127"/>
      <c r="D301" s="153">
        <f ca="1">IFERROR(INDEX('入力表（利用申込のない夜間閉館）'!B$272:B$302,'様式１（区への申請用）'!J301,1),"")</f>
        <v>45969</v>
      </c>
      <c r="E301" s="154"/>
      <c r="F301" s="112"/>
      <c r="H301" s="123">
        <v>4</v>
      </c>
      <c r="I301" s="123">
        <f t="shared" ca="1" si="14"/>
        <v>2</v>
      </c>
      <c r="J301" s="123">
        <f t="shared" ref="J301:J328" ca="1" si="15">SUM(J300+I301)</f>
        <v>8</v>
      </c>
      <c r="O301" s="125"/>
    </row>
    <row r="302" spans="1:15">
      <c r="A302" s="112"/>
      <c r="B302" s="121"/>
      <c r="C302" s="127"/>
      <c r="D302" s="153">
        <f ca="1">IFERROR(INDEX('入力表（利用申込のない夜間閉館）'!B$272:B$302,'様式１（区への申請用）'!J302,1),"")</f>
        <v>45971</v>
      </c>
      <c r="E302" s="154"/>
      <c r="F302" s="112"/>
      <c r="H302" s="123">
        <v>5</v>
      </c>
      <c r="I302" s="123">
        <f t="shared" ca="1" si="14"/>
        <v>2</v>
      </c>
      <c r="J302" s="123">
        <f t="shared" ca="1" si="15"/>
        <v>10</v>
      </c>
      <c r="O302" s="125"/>
    </row>
    <row r="303" spans="1:15">
      <c r="A303" s="112"/>
      <c r="B303" s="121"/>
      <c r="C303" s="127"/>
      <c r="D303" s="153">
        <f ca="1">IFERROR(INDEX('入力表（利用申込のない夜間閉館）'!B$272:B$302,'様式１（区への申請用）'!J303,1),"")</f>
        <v>45974</v>
      </c>
      <c r="E303" s="154"/>
      <c r="F303" s="112"/>
      <c r="H303" s="123">
        <v>6</v>
      </c>
      <c r="I303" s="123">
        <f t="shared" ca="1" si="14"/>
        <v>3</v>
      </c>
      <c r="J303" s="123">
        <f t="shared" ca="1" si="15"/>
        <v>13</v>
      </c>
      <c r="O303" s="125"/>
    </row>
    <row r="304" spans="1:15">
      <c r="A304" s="112"/>
      <c r="B304" s="121"/>
      <c r="C304" s="127"/>
      <c r="D304" s="153">
        <f ca="1">IFERROR(INDEX('入力表（利用申込のない夜間閉館）'!B$272:B$302,'様式１（区への申請用）'!J304,1),"")</f>
        <v>45979</v>
      </c>
      <c r="E304" s="154"/>
      <c r="F304" s="112"/>
      <c r="H304" s="123">
        <v>7</v>
      </c>
      <c r="I304" s="123">
        <f t="shared" ca="1" si="14"/>
        <v>5</v>
      </c>
      <c r="J304" s="123">
        <f t="shared" ca="1" si="15"/>
        <v>18</v>
      </c>
      <c r="O304" s="125"/>
    </row>
    <row r="305" spans="1:10">
      <c r="A305" s="112"/>
      <c r="B305" s="121"/>
      <c r="C305" s="127"/>
      <c r="D305" s="153">
        <f ca="1">IFERROR(INDEX('入力表（利用申込のない夜間閉館）'!B$272:B$302,'様式１（区への申請用）'!J305,1),"")</f>
        <v>45983</v>
      </c>
      <c r="E305" s="154"/>
      <c r="F305" s="112"/>
      <c r="H305" s="123">
        <v>8</v>
      </c>
      <c r="I305" s="123">
        <f t="shared" ca="1" si="14"/>
        <v>4</v>
      </c>
      <c r="J305" s="123">
        <f t="shared" ca="1" si="15"/>
        <v>22</v>
      </c>
    </row>
    <row r="306" spans="1:10">
      <c r="A306" s="112"/>
      <c r="B306" s="121"/>
      <c r="C306" s="127"/>
      <c r="D306" s="153">
        <f ca="1">IFERROR(INDEX('入力表（利用申込のない夜間閉館）'!B$272:B$302,'様式１（区への申請用）'!J306,1),"")</f>
        <v>45990</v>
      </c>
      <c r="E306" s="154"/>
      <c r="F306" s="112"/>
      <c r="H306" s="123">
        <v>9</v>
      </c>
      <c r="I306" s="123">
        <f t="shared" ca="1" si="14"/>
        <v>7</v>
      </c>
      <c r="J306" s="123">
        <f t="shared" ca="1" si="15"/>
        <v>29</v>
      </c>
    </row>
    <row r="307" spans="1:10">
      <c r="A307" s="112"/>
      <c r="B307" s="121"/>
      <c r="C307" s="127"/>
      <c r="D307" s="153" t="str">
        <f ca="1">IFERROR(INDEX('入力表（利用申込のない夜間閉館）'!B$272:B$302,'様式１（区への申請用）'!J307,1),"")</f>
        <v/>
      </c>
      <c r="E307" s="154"/>
      <c r="F307" s="112"/>
      <c r="H307" s="123">
        <v>10</v>
      </c>
      <c r="I307" s="123" t="e">
        <f t="shared" ca="1" si="14"/>
        <v>#N/A</v>
      </c>
      <c r="J307" s="123" t="e">
        <f t="shared" ca="1" si="15"/>
        <v>#N/A</v>
      </c>
    </row>
    <row r="308" spans="1:10">
      <c r="A308" s="112"/>
      <c r="B308" s="121"/>
      <c r="C308" s="127"/>
      <c r="D308" s="153" t="str">
        <f ca="1">IFERROR(INDEX('入力表（利用申込のない夜間閉館）'!B$272:B$302,'様式１（区への申請用）'!J308,1),"")</f>
        <v/>
      </c>
      <c r="E308" s="154"/>
      <c r="F308" s="112"/>
      <c r="H308" s="123">
        <v>11</v>
      </c>
      <c r="I308" s="123" t="e">
        <f t="shared" ca="1" si="14"/>
        <v>#N/A</v>
      </c>
      <c r="J308" s="123" t="e">
        <f t="shared" ca="1" si="15"/>
        <v>#N/A</v>
      </c>
    </row>
    <row r="309" spans="1:10">
      <c r="A309" s="112"/>
      <c r="B309" s="121"/>
      <c r="C309" s="127"/>
      <c r="D309" s="153" t="str">
        <f ca="1">IFERROR(INDEX('入力表（利用申込のない夜間閉館）'!B$272:B$302,'様式１（区への申請用）'!J309,1),"")</f>
        <v/>
      </c>
      <c r="E309" s="154"/>
      <c r="F309" s="112"/>
      <c r="H309" s="123">
        <v>12</v>
      </c>
      <c r="I309" s="123" t="e">
        <f t="shared" ca="1" si="14"/>
        <v>#N/A</v>
      </c>
      <c r="J309" s="123" t="e">
        <f t="shared" ca="1" si="15"/>
        <v>#N/A</v>
      </c>
    </row>
    <row r="310" spans="1:10">
      <c r="A310" s="112"/>
      <c r="B310" s="121"/>
      <c r="C310" s="127"/>
      <c r="D310" s="153" t="str">
        <f ca="1">IFERROR(INDEX('入力表（利用申込のない夜間閉館）'!B$272:B$302,'様式１（区への申請用）'!J310,1),"")</f>
        <v/>
      </c>
      <c r="E310" s="154"/>
      <c r="F310" s="112"/>
      <c r="H310" s="123">
        <v>13</v>
      </c>
      <c r="I310" s="123" t="e">
        <f t="shared" ca="1" si="14"/>
        <v>#N/A</v>
      </c>
      <c r="J310" s="123" t="e">
        <f t="shared" ca="1" si="15"/>
        <v>#N/A</v>
      </c>
    </row>
    <row r="311" spans="1:10">
      <c r="A311" s="112"/>
      <c r="B311" s="121"/>
      <c r="C311" s="127"/>
      <c r="D311" s="153" t="str">
        <f ca="1">IFERROR(INDEX('入力表（利用申込のない夜間閉館）'!B$272:B$302,'様式１（区への申請用）'!J311,1),"")</f>
        <v/>
      </c>
      <c r="E311" s="154"/>
      <c r="F311" s="112"/>
      <c r="H311" s="123">
        <v>14</v>
      </c>
      <c r="I311" s="123" t="e">
        <f t="shared" ca="1" si="14"/>
        <v>#N/A</v>
      </c>
      <c r="J311" s="123" t="e">
        <f t="shared" ca="1" si="15"/>
        <v>#N/A</v>
      </c>
    </row>
    <row r="312" spans="1:10">
      <c r="A312" s="112"/>
      <c r="B312" s="121"/>
      <c r="C312" s="127"/>
      <c r="D312" s="153" t="str">
        <f ca="1">IFERROR(INDEX('入力表（利用申込のない夜間閉館）'!B$272:B$302,'様式１（区への申請用）'!J312,1),"")</f>
        <v/>
      </c>
      <c r="E312" s="154"/>
      <c r="F312" s="112"/>
      <c r="H312" s="123">
        <v>15</v>
      </c>
      <c r="I312" s="123" t="e">
        <f t="shared" ca="1" si="14"/>
        <v>#N/A</v>
      </c>
      <c r="J312" s="123" t="e">
        <f t="shared" ca="1" si="15"/>
        <v>#N/A</v>
      </c>
    </row>
    <row r="313" spans="1:10">
      <c r="A313" s="112"/>
      <c r="B313" s="121"/>
      <c r="C313" s="127"/>
      <c r="D313" s="153" t="str">
        <f ca="1">IFERROR(INDEX('入力表（利用申込のない夜間閉館）'!B$272:B$302,'様式１（区への申請用）'!J313,1),"")</f>
        <v/>
      </c>
      <c r="E313" s="154"/>
      <c r="F313" s="112"/>
      <c r="H313" s="123">
        <v>16</v>
      </c>
      <c r="I313" s="123" t="e">
        <f t="shared" ca="1" si="14"/>
        <v>#N/A</v>
      </c>
      <c r="J313" s="123" t="e">
        <f t="shared" ca="1" si="15"/>
        <v>#N/A</v>
      </c>
    </row>
    <row r="314" spans="1:10">
      <c r="A314" s="112"/>
      <c r="B314" s="121"/>
      <c r="C314" s="127"/>
      <c r="D314" s="153" t="str">
        <f ca="1">IFERROR(INDEX('入力表（利用申込のない夜間閉館）'!B$272:B$302,'様式１（区への申請用）'!J314,1),"")</f>
        <v/>
      </c>
      <c r="E314" s="154"/>
      <c r="F314" s="112"/>
      <c r="H314" s="123">
        <v>17</v>
      </c>
      <c r="I314" s="123" t="e">
        <f t="shared" ca="1" si="14"/>
        <v>#N/A</v>
      </c>
      <c r="J314" s="123" t="e">
        <f t="shared" ca="1" si="15"/>
        <v>#N/A</v>
      </c>
    </row>
    <row r="315" spans="1:10">
      <c r="A315" s="112"/>
      <c r="B315" s="121"/>
      <c r="C315" s="127"/>
      <c r="D315" s="153" t="str">
        <f ca="1">IFERROR(INDEX('入力表（利用申込のない夜間閉館）'!B$272:B$302,'様式１（区への申請用）'!J315,1),"")</f>
        <v/>
      </c>
      <c r="E315" s="154"/>
      <c r="F315" s="112"/>
      <c r="H315" s="123">
        <v>18</v>
      </c>
      <c r="I315" s="123" t="e">
        <f t="shared" ca="1" si="14"/>
        <v>#N/A</v>
      </c>
      <c r="J315" s="123" t="e">
        <f t="shared" ca="1" si="15"/>
        <v>#N/A</v>
      </c>
    </row>
    <row r="316" spans="1:10">
      <c r="A316" s="112"/>
      <c r="B316" s="121"/>
      <c r="C316" s="127"/>
      <c r="D316" s="153" t="str">
        <f ca="1">IFERROR(INDEX('入力表（利用申込のない夜間閉館）'!B$272:B$302,'様式１（区への申請用）'!J316,1),"")</f>
        <v/>
      </c>
      <c r="E316" s="154"/>
      <c r="F316" s="112"/>
      <c r="H316" s="123">
        <v>19</v>
      </c>
      <c r="I316" s="123" t="e">
        <f t="shared" ca="1" si="14"/>
        <v>#N/A</v>
      </c>
      <c r="J316" s="123" t="e">
        <f t="shared" ca="1" si="15"/>
        <v>#N/A</v>
      </c>
    </row>
    <row r="317" spans="1:10">
      <c r="A317" s="112"/>
      <c r="B317" s="121"/>
      <c r="C317" s="127"/>
      <c r="D317" s="153" t="str">
        <f ca="1">IFERROR(INDEX('入力表（利用申込のない夜間閉館）'!B$272:B$302,'様式１（区への申請用）'!J317,1),"")</f>
        <v/>
      </c>
      <c r="E317" s="154"/>
      <c r="F317" s="112"/>
      <c r="H317" s="123">
        <v>20</v>
      </c>
      <c r="I317" s="123" t="e">
        <f t="shared" ca="1" si="14"/>
        <v>#N/A</v>
      </c>
      <c r="J317" s="123" t="e">
        <f t="shared" ca="1" si="15"/>
        <v>#N/A</v>
      </c>
    </row>
    <row r="318" spans="1:10">
      <c r="A318" s="112"/>
      <c r="B318" s="121"/>
      <c r="C318" s="127"/>
      <c r="D318" s="153" t="str">
        <f ca="1">IFERROR(INDEX('入力表（利用申込のない夜間閉館）'!B$272:B$302,'様式１（区への申請用）'!J318,1),"")</f>
        <v/>
      </c>
      <c r="E318" s="154"/>
      <c r="F318" s="112"/>
      <c r="H318" s="123">
        <v>21</v>
      </c>
      <c r="I318" s="123" t="e">
        <f t="shared" ca="1" si="14"/>
        <v>#N/A</v>
      </c>
      <c r="J318" s="123" t="e">
        <f t="shared" ca="1" si="15"/>
        <v>#N/A</v>
      </c>
    </row>
    <row r="319" spans="1:10">
      <c r="A319" s="112"/>
      <c r="B319" s="121"/>
      <c r="C319" s="127"/>
      <c r="D319" s="153" t="str">
        <f ca="1">IFERROR(INDEX('入力表（利用申込のない夜間閉館）'!B$272:B$302,'様式１（区への申請用）'!J319,1),"")</f>
        <v/>
      </c>
      <c r="E319" s="154"/>
      <c r="F319" s="112"/>
      <c r="H319" s="123">
        <v>22</v>
      </c>
      <c r="I319" s="123" t="e">
        <f t="shared" ca="1" si="14"/>
        <v>#N/A</v>
      </c>
      <c r="J319" s="123" t="e">
        <f t="shared" ca="1" si="15"/>
        <v>#N/A</v>
      </c>
    </row>
    <row r="320" spans="1:10">
      <c r="A320" s="112"/>
      <c r="B320" s="121"/>
      <c r="C320" s="127"/>
      <c r="D320" s="153" t="str">
        <f ca="1">IFERROR(INDEX('入力表（利用申込のない夜間閉館）'!B$272:B$302,'様式１（区への申請用）'!J320,1),"")</f>
        <v/>
      </c>
      <c r="E320" s="154"/>
      <c r="F320" s="112"/>
      <c r="H320" s="123">
        <v>23</v>
      </c>
      <c r="I320" s="123" t="e">
        <f t="shared" ca="1" si="14"/>
        <v>#N/A</v>
      </c>
      <c r="J320" s="123" t="e">
        <f t="shared" ca="1" si="15"/>
        <v>#N/A</v>
      </c>
    </row>
    <row r="321" spans="1:10">
      <c r="A321" s="112"/>
      <c r="B321" s="121"/>
      <c r="C321" s="127"/>
      <c r="D321" s="153" t="str">
        <f ca="1">IFERROR(INDEX('入力表（利用申込のない夜間閉館）'!B$272:B$302,'様式１（区への申請用）'!J321,1),"")</f>
        <v/>
      </c>
      <c r="E321" s="154"/>
      <c r="F321" s="112"/>
      <c r="H321" s="123">
        <v>24</v>
      </c>
      <c r="I321" s="123" t="e">
        <f t="shared" ca="1" si="14"/>
        <v>#N/A</v>
      </c>
      <c r="J321" s="123" t="e">
        <f t="shared" ca="1" si="15"/>
        <v>#N/A</v>
      </c>
    </row>
    <row r="322" spans="1:10">
      <c r="A322" s="112"/>
      <c r="B322" s="121"/>
      <c r="C322" s="127"/>
      <c r="D322" s="153" t="str">
        <f ca="1">IFERROR(INDEX('入力表（利用申込のない夜間閉館）'!B$272:B$302,'様式１（区への申請用）'!J322,1),"")</f>
        <v/>
      </c>
      <c r="E322" s="154"/>
      <c r="F322" s="112"/>
      <c r="H322" s="123">
        <v>25</v>
      </c>
      <c r="I322" s="123" t="e">
        <f t="shared" ca="1" si="14"/>
        <v>#N/A</v>
      </c>
      <c r="J322" s="123" t="e">
        <f t="shared" ca="1" si="15"/>
        <v>#N/A</v>
      </c>
    </row>
    <row r="323" spans="1:10">
      <c r="A323" s="112"/>
      <c r="B323" s="121"/>
      <c r="C323" s="127"/>
      <c r="D323" s="153" t="str">
        <f ca="1">IFERROR(INDEX('入力表（利用申込のない夜間閉館）'!B$272:B$302,'様式１（区への申請用）'!J323,1),"")</f>
        <v/>
      </c>
      <c r="E323" s="154"/>
      <c r="F323" s="112"/>
      <c r="H323" s="123">
        <v>26</v>
      </c>
      <c r="I323" s="123" t="e">
        <f t="shared" ca="1" si="14"/>
        <v>#N/A</v>
      </c>
      <c r="J323" s="123" t="e">
        <f t="shared" ca="1" si="15"/>
        <v>#N/A</v>
      </c>
    </row>
    <row r="324" spans="1:10">
      <c r="A324" s="112"/>
      <c r="B324" s="128"/>
      <c r="C324" s="129"/>
      <c r="D324" s="153" t="str">
        <f ca="1">IFERROR(INDEX('入力表（利用申込のない夜間閉館）'!B$272:B$302,'様式１（区への申請用）'!J324,1),"")</f>
        <v/>
      </c>
      <c r="E324" s="154"/>
      <c r="F324" s="112"/>
      <c r="H324" s="123">
        <v>27</v>
      </c>
      <c r="I324" s="123" t="e">
        <f t="shared" ca="1" si="14"/>
        <v>#N/A</v>
      </c>
      <c r="J324" s="123" t="e">
        <f t="shared" ca="1" si="15"/>
        <v>#N/A</v>
      </c>
    </row>
    <row r="325" spans="1:10">
      <c r="A325" s="113"/>
      <c r="B325" s="112"/>
      <c r="C325" s="112"/>
      <c r="D325" s="112"/>
      <c r="E325" s="112"/>
      <c r="F325" s="112"/>
      <c r="H325" s="123">
        <v>28</v>
      </c>
      <c r="I325" s="123" t="e">
        <f t="shared" ca="1" si="14"/>
        <v>#N/A</v>
      </c>
      <c r="J325" s="123" t="e">
        <f t="shared" ca="1" si="15"/>
        <v>#N/A</v>
      </c>
    </row>
    <row r="326" spans="1:10">
      <c r="A326" s="112"/>
      <c r="B326" s="130"/>
      <c r="C326" s="130"/>
      <c r="D326" s="112"/>
      <c r="E326" s="112"/>
      <c r="F326" s="130"/>
      <c r="H326" s="123">
        <v>29</v>
      </c>
      <c r="I326" s="123" t="e">
        <f t="shared" ca="1" si="14"/>
        <v>#N/A</v>
      </c>
      <c r="J326" s="123" t="e">
        <f t="shared" ca="1" si="15"/>
        <v>#N/A</v>
      </c>
    </row>
    <row r="327" spans="1:10">
      <c r="A327" s="130" t="str">
        <f>A286</f>
        <v>・原則として、１月分まとめて提出してください。</v>
      </c>
      <c r="B327" s="112"/>
      <c r="C327" s="112"/>
      <c r="D327" s="112"/>
      <c r="E327" s="112"/>
      <c r="F327" s="112"/>
      <c r="H327" s="123">
        <v>30</v>
      </c>
      <c r="I327" s="123" t="e">
        <f t="shared" ca="1" si="14"/>
        <v>#N/A</v>
      </c>
      <c r="J327" s="123" t="e">
        <f t="shared" ca="1" si="15"/>
        <v>#N/A</v>
      </c>
    </row>
    <row r="328" spans="1:10">
      <c r="A328" s="131"/>
      <c r="B328" s="112"/>
      <c r="C328" s="112"/>
      <c r="D328" s="112"/>
      <c r="E328" s="112"/>
      <c r="F328" s="112"/>
      <c r="H328" s="123">
        <v>31</v>
      </c>
      <c r="I328" s="123" t="e">
        <f t="shared" ca="1" si="14"/>
        <v>#N/A</v>
      </c>
      <c r="J328" s="123" t="e">
        <f t="shared" ca="1" si="15"/>
        <v>#N/A</v>
      </c>
    </row>
    <row r="329" spans="1:10">
      <c r="A329" s="109" t="str">
        <f>$A$1</f>
        <v>様式１（第２条第２項第２号）</v>
      </c>
      <c r="B329" s="109"/>
      <c r="C329" s="109"/>
      <c r="D329" s="109"/>
      <c r="E329" s="109"/>
      <c r="F329" s="109"/>
    </row>
    <row r="330" spans="1:10" ht="10.5" customHeight="1">
      <c r="A330" s="110"/>
    </row>
    <row r="331" spans="1:10">
      <c r="A331" s="157" t="str">
        <f>$A$3</f>
        <v>夜間閉館申請書</v>
      </c>
      <c r="B331" s="157"/>
      <c r="C331" s="157"/>
      <c r="D331" s="157"/>
      <c r="E331" s="157"/>
      <c r="F331" s="157"/>
    </row>
    <row r="332" spans="1:10">
      <c r="A332" s="110"/>
      <c r="F332" s="135" t="s">
        <v>110</v>
      </c>
    </row>
    <row r="333" spans="1:10">
      <c r="A333" s="113" t="str">
        <f>$A$5</f>
        <v>（申請先）</v>
      </c>
    </row>
    <row r="334" spans="1:10">
      <c r="A334" s="114" t="str">
        <f>A6</f>
        <v>磯子</v>
      </c>
      <c r="B334" s="112" t="s">
        <v>82</v>
      </c>
      <c r="C334" s="112"/>
      <c r="D334" s="112"/>
      <c r="E334" s="112"/>
      <c r="F334" s="112"/>
    </row>
    <row r="335" spans="1:10">
      <c r="A335" s="112"/>
      <c r="B335" s="112"/>
      <c r="C335" s="112"/>
      <c r="D335" s="112"/>
      <c r="E335" s="132" t="str">
        <f>E7</f>
        <v>洋光台</v>
      </c>
      <c r="F335" s="112" t="s">
        <v>83</v>
      </c>
    </row>
    <row r="336" spans="1:10" ht="12.75" customHeight="1">
      <c r="A336" s="113"/>
      <c r="H336">
        <f>H295+$J$8</f>
        <v>310</v>
      </c>
    </row>
    <row r="337" spans="1:15" ht="57.75" customHeight="1" thickBot="1">
      <c r="A337" s="158" t="str">
        <f>A296</f>
        <v>　月曜日から土曜日の午後６時から午後９時（以下「夜間」という。）の施設利用の申込について、横浜市地域ケアプラザ施設使用及び目的外使用に関する要綱（以下「施設使用要綱」という。）第７条及び第８条に定める手続きが行われていない日のうち、次の日の夜間閉館を申請します。</v>
      </c>
      <c r="B337" s="158"/>
      <c r="C337" s="158"/>
      <c r="D337" s="158"/>
      <c r="E337" s="158"/>
      <c r="F337" s="158"/>
      <c r="H337">
        <f>H296+$J$8</f>
        <v>340</v>
      </c>
    </row>
    <row r="338" spans="1:15" s="115" customFormat="1" ht="19.5" thickBot="1">
      <c r="B338" s="159" t="str">
        <f>B297</f>
        <v>年月</v>
      </c>
      <c r="C338" s="160"/>
      <c r="D338" s="117" t="str">
        <f>D297</f>
        <v>日</v>
      </c>
      <c r="E338" s="118" t="str">
        <f>E297</f>
        <v>（曜日）</v>
      </c>
      <c r="H338" s="119" t="s">
        <v>65</v>
      </c>
      <c r="I338" s="120" t="s">
        <v>63</v>
      </c>
      <c r="J338" s="120" t="s">
        <v>64</v>
      </c>
    </row>
    <row r="339" spans="1:15">
      <c r="B339" s="121" t="str">
        <f>$B$11</f>
        <v>令和７年</v>
      </c>
      <c r="C339" s="122" t="s">
        <v>73</v>
      </c>
      <c r="D339" s="155">
        <f>IFERROR(INDEX('入力表（利用申込のない夜間閉館）'!B$310:B$340,'様式１（区への申請用）'!J339,1),"")</f>
        <v>45992</v>
      </c>
      <c r="E339" s="156"/>
      <c r="H339" s="123">
        <v>1</v>
      </c>
      <c r="I339" s="124">
        <f>MATCH("利用申込のない夜間閉館",'入力表（利用申込のない夜間閉館）'!E310:E340,0)</f>
        <v>1</v>
      </c>
      <c r="J339" s="124">
        <f>I339</f>
        <v>1</v>
      </c>
      <c r="L339" s="115"/>
      <c r="M339" s="115"/>
      <c r="O339" s="125"/>
    </row>
    <row r="340" spans="1:15">
      <c r="B340" s="126">
        <f>$B$12</f>
        <v>2025</v>
      </c>
      <c r="C340" s="122"/>
      <c r="D340" s="153">
        <f ca="1">IFERROR(INDEX('入力表（利用申込のない夜間閉館）'!B$310:B$340,'様式１（区への申請用）'!J340,1),"")</f>
        <v>45993</v>
      </c>
      <c r="E340" s="154"/>
      <c r="H340" s="123">
        <v>2</v>
      </c>
      <c r="I340" s="123">
        <f ca="1">MATCH("利用申込のない夜間閉館",INDIRECT("'入力表（利用申込のない夜間閉館）'!E"&amp;310+J339&amp;":e340"),0)</f>
        <v>1</v>
      </c>
      <c r="J340" s="123">
        <f ca="1">SUM(I339+I340)</f>
        <v>2</v>
      </c>
      <c r="O340" s="125"/>
    </row>
    <row r="341" spans="1:15">
      <c r="B341" s="121"/>
      <c r="C341" s="122"/>
      <c r="D341" s="153">
        <f ca="1">IFERROR(INDEX('入力表（利用申込のない夜間閉館）'!B$310:B$340,'様式１（区への申請用）'!J341,1),"")</f>
        <v>45995</v>
      </c>
      <c r="E341" s="154"/>
      <c r="H341" s="123">
        <v>3</v>
      </c>
      <c r="I341" s="123">
        <f t="shared" ref="I341:I369" ca="1" si="16">MATCH("利用申込のない夜間閉館",INDIRECT("'入力表（利用申込のない夜間閉館）'!E"&amp;310+J340&amp;":e340"),0)</f>
        <v>2</v>
      </c>
      <c r="J341" s="123">
        <f ca="1">SUM(J340+I341)</f>
        <v>4</v>
      </c>
      <c r="O341" s="125"/>
    </row>
    <row r="342" spans="1:15">
      <c r="B342" s="121"/>
      <c r="C342" s="127"/>
      <c r="D342" s="153">
        <f ca="1">IFERROR(INDEX('入力表（利用申込のない夜間閉館）'!B$310:B$340,'様式１（区への申請用）'!J342,1),"")</f>
        <v>45997</v>
      </c>
      <c r="E342" s="154"/>
      <c r="H342" s="123">
        <v>4</v>
      </c>
      <c r="I342" s="123">
        <f t="shared" ca="1" si="16"/>
        <v>2</v>
      </c>
      <c r="J342" s="123">
        <f t="shared" ref="J342:J369" ca="1" si="17">SUM(J341+I342)</f>
        <v>6</v>
      </c>
      <c r="O342" s="125"/>
    </row>
    <row r="343" spans="1:15">
      <c r="B343" s="121"/>
      <c r="C343" s="127"/>
      <c r="D343" s="153">
        <f ca="1">IFERROR(INDEX('入力表（利用申込のない夜間閉館）'!B$310:B$340,'様式１（区への申請用）'!J343,1),"")</f>
        <v>45999</v>
      </c>
      <c r="E343" s="154"/>
      <c r="H343" s="123">
        <v>5</v>
      </c>
      <c r="I343" s="123">
        <f t="shared" ca="1" si="16"/>
        <v>2</v>
      </c>
      <c r="J343" s="123">
        <f t="shared" ca="1" si="17"/>
        <v>8</v>
      </c>
      <c r="O343" s="125"/>
    </row>
    <row r="344" spans="1:15">
      <c r="B344" s="121"/>
      <c r="C344" s="127"/>
      <c r="D344" s="153">
        <f ca="1">IFERROR(INDEX('入力表（利用申込のない夜間閉館）'!B$310:B$340,'様式１（区への申請用）'!J344,1),"")</f>
        <v>46002</v>
      </c>
      <c r="E344" s="154"/>
      <c r="H344" s="123">
        <v>6</v>
      </c>
      <c r="I344" s="123">
        <f t="shared" ca="1" si="16"/>
        <v>3</v>
      </c>
      <c r="J344" s="123">
        <f t="shared" ca="1" si="17"/>
        <v>11</v>
      </c>
      <c r="O344" s="125"/>
    </row>
    <row r="345" spans="1:15">
      <c r="B345" s="121"/>
      <c r="C345" s="127"/>
      <c r="D345" s="153">
        <f ca="1">IFERROR(INDEX('入力表（利用申込のない夜間閉館）'!B$310:B$340,'様式１（区への申請用）'!J345,1),"")</f>
        <v>46004</v>
      </c>
      <c r="E345" s="154"/>
      <c r="H345" s="123">
        <v>7</v>
      </c>
      <c r="I345" s="123">
        <f t="shared" ca="1" si="16"/>
        <v>2</v>
      </c>
      <c r="J345" s="123">
        <f t="shared" ca="1" si="17"/>
        <v>13</v>
      </c>
      <c r="O345" s="125"/>
    </row>
    <row r="346" spans="1:15">
      <c r="B346" s="121"/>
      <c r="C346" s="127"/>
      <c r="D346" s="153">
        <f ca="1">IFERROR(INDEX('入力表（利用申込のない夜間閉館）'!B$310:B$340,'様式１（区への申請用）'!J346,1),"")</f>
        <v>46007</v>
      </c>
      <c r="E346" s="154"/>
      <c r="H346" s="123">
        <v>8</v>
      </c>
      <c r="I346" s="123">
        <f t="shared" ca="1" si="16"/>
        <v>3</v>
      </c>
      <c r="J346" s="123">
        <f t="shared" ca="1" si="17"/>
        <v>16</v>
      </c>
    </row>
    <row r="347" spans="1:15">
      <c r="B347" s="121"/>
      <c r="C347" s="127"/>
      <c r="D347" s="153">
        <f ca="1">IFERROR(INDEX('入力表（利用申込のない夜間閉館）'!B$310:B$340,'様式１（区への申請用）'!J347,1),"")</f>
        <v>46013</v>
      </c>
      <c r="E347" s="154"/>
      <c r="H347" s="123">
        <v>9</v>
      </c>
      <c r="I347" s="123">
        <f t="shared" ca="1" si="16"/>
        <v>6</v>
      </c>
      <c r="J347" s="123">
        <f t="shared" ca="1" si="17"/>
        <v>22</v>
      </c>
    </row>
    <row r="348" spans="1:15">
      <c r="B348" s="121"/>
      <c r="C348" s="127"/>
      <c r="D348" s="153">
        <f ca="1">IFERROR(INDEX('入力表（利用申込のない夜間閉館）'!B$310:B$340,'様式１（区への申請用）'!J348,1),"")</f>
        <v>46016</v>
      </c>
      <c r="E348" s="154"/>
      <c r="H348" s="123">
        <v>10</v>
      </c>
      <c r="I348" s="123">
        <f t="shared" ca="1" si="16"/>
        <v>3</v>
      </c>
      <c r="J348" s="123">
        <f t="shared" ca="1" si="17"/>
        <v>25</v>
      </c>
    </row>
    <row r="349" spans="1:15">
      <c r="B349" s="121"/>
      <c r="C349" s="127"/>
      <c r="D349" s="153">
        <f ca="1">IFERROR(INDEX('入力表（利用申込のない夜間閉館）'!B$310:B$340,'様式１（区への申請用）'!J349,1),"")</f>
        <v>46018</v>
      </c>
      <c r="E349" s="154"/>
      <c r="H349" s="123">
        <v>11</v>
      </c>
      <c r="I349" s="123">
        <f t="shared" ca="1" si="16"/>
        <v>2</v>
      </c>
      <c r="J349" s="123">
        <f t="shared" ca="1" si="17"/>
        <v>27</v>
      </c>
    </row>
    <row r="350" spans="1:15">
      <c r="B350" s="121"/>
      <c r="C350" s="127"/>
      <c r="D350" s="153" t="str">
        <f ca="1">IFERROR(INDEX('入力表（利用申込のない夜間閉館）'!B$310:B$340,'様式１（区への申請用）'!J350,1),"")</f>
        <v/>
      </c>
      <c r="E350" s="154"/>
      <c r="H350" s="123">
        <v>12</v>
      </c>
      <c r="I350" s="123" t="e">
        <f t="shared" ca="1" si="16"/>
        <v>#N/A</v>
      </c>
      <c r="J350" s="123" t="e">
        <f t="shared" ca="1" si="17"/>
        <v>#N/A</v>
      </c>
    </row>
    <row r="351" spans="1:15">
      <c r="B351" s="121"/>
      <c r="C351" s="127"/>
      <c r="D351" s="153" t="str">
        <f ca="1">IFERROR(INDEX('入力表（利用申込のない夜間閉館）'!B$310:B$340,'様式１（区への申請用）'!J351,1),"")</f>
        <v/>
      </c>
      <c r="E351" s="154"/>
      <c r="H351" s="123">
        <v>13</v>
      </c>
      <c r="I351" s="123" t="e">
        <f t="shared" ca="1" si="16"/>
        <v>#N/A</v>
      </c>
      <c r="J351" s="123" t="e">
        <f t="shared" ca="1" si="17"/>
        <v>#N/A</v>
      </c>
    </row>
    <row r="352" spans="1:15">
      <c r="B352" s="121"/>
      <c r="C352" s="127"/>
      <c r="D352" s="153" t="str">
        <f ca="1">IFERROR(INDEX('入力表（利用申込のない夜間閉館）'!B$310:B$340,'様式１（区への申請用）'!J352,1),"")</f>
        <v/>
      </c>
      <c r="E352" s="154"/>
      <c r="H352" s="123">
        <v>14</v>
      </c>
      <c r="I352" s="123" t="e">
        <f t="shared" ca="1" si="16"/>
        <v>#N/A</v>
      </c>
      <c r="J352" s="123" t="e">
        <f t="shared" ca="1" si="17"/>
        <v>#N/A</v>
      </c>
    </row>
    <row r="353" spans="1:10">
      <c r="B353" s="121"/>
      <c r="C353" s="127"/>
      <c r="D353" s="153" t="str">
        <f ca="1">IFERROR(INDEX('入力表（利用申込のない夜間閉館）'!B$310:B$340,'様式１（区への申請用）'!J353,1),"")</f>
        <v/>
      </c>
      <c r="E353" s="154"/>
      <c r="H353" s="123">
        <v>15</v>
      </c>
      <c r="I353" s="123" t="e">
        <f t="shared" ca="1" si="16"/>
        <v>#N/A</v>
      </c>
      <c r="J353" s="123" t="e">
        <f t="shared" ca="1" si="17"/>
        <v>#N/A</v>
      </c>
    </row>
    <row r="354" spans="1:10">
      <c r="B354" s="121"/>
      <c r="C354" s="127"/>
      <c r="D354" s="153" t="str">
        <f ca="1">IFERROR(INDEX('入力表（利用申込のない夜間閉館）'!B$310:B$340,'様式１（区への申請用）'!J354,1),"")</f>
        <v/>
      </c>
      <c r="E354" s="154"/>
      <c r="H354" s="123">
        <v>16</v>
      </c>
      <c r="I354" s="123" t="e">
        <f t="shared" ca="1" si="16"/>
        <v>#N/A</v>
      </c>
      <c r="J354" s="123" t="e">
        <f t="shared" ca="1" si="17"/>
        <v>#N/A</v>
      </c>
    </row>
    <row r="355" spans="1:10">
      <c r="B355" s="121"/>
      <c r="C355" s="127"/>
      <c r="D355" s="153" t="str">
        <f ca="1">IFERROR(INDEX('入力表（利用申込のない夜間閉館）'!B$310:B$340,'様式１（区への申請用）'!J355,1),"")</f>
        <v/>
      </c>
      <c r="E355" s="154"/>
      <c r="H355" s="123">
        <v>17</v>
      </c>
      <c r="I355" s="123" t="e">
        <f t="shared" ca="1" si="16"/>
        <v>#N/A</v>
      </c>
      <c r="J355" s="123" t="e">
        <f t="shared" ca="1" si="17"/>
        <v>#N/A</v>
      </c>
    </row>
    <row r="356" spans="1:10">
      <c r="B356" s="121"/>
      <c r="C356" s="127"/>
      <c r="D356" s="153" t="str">
        <f ca="1">IFERROR(INDEX('入力表（利用申込のない夜間閉館）'!B$310:B$340,'様式１（区への申請用）'!J356,1),"")</f>
        <v/>
      </c>
      <c r="E356" s="154"/>
      <c r="H356" s="123">
        <v>18</v>
      </c>
      <c r="I356" s="123" t="e">
        <f t="shared" ca="1" si="16"/>
        <v>#N/A</v>
      </c>
      <c r="J356" s="123" t="e">
        <f t="shared" ca="1" si="17"/>
        <v>#N/A</v>
      </c>
    </row>
    <row r="357" spans="1:10">
      <c r="B357" s="121"/>
      <c r="C357" s="127"/>
      <c r="D357" s="153" t="str">
        <f ca="1">IFERROR(INDEX('入力表（利用申込のない夜間閉館）'!B$310:B$340,'様式１（区への申請用）'!J357,1),"")</f>
        <v/>
      </c>
      <c r="E357" s="154"/>
      <c r="H357" s="123">
        <v>19</v>
      </c>
      <c r="I357" s="123" t="e">
        <f t="shared" ca="1" si="16"/>
        <v>#N/A</v>
      </c>
      <c r="J357" s="123" t="e">
        <f t="shared" ca="1" si="17"/>
        <v>#N/A</v>
      </c>
    </row>
    <row r="358" spans="1:10">
      <c r="B358" s="121"/>
      <c r="C358" s="127"/>
      <c r="D358" s="153" t="str">
        <f ca="1">IFERROR(INDEX('入力表（利用申込のない夜間閉館）'!B$310:B$340,'様式１（区への申請用）'!J358,1),"")</f>
        <v/>
      </c>
      <c r="E358" s="154"/>
      <c r="H358" s="123">
        <v>20</v>
      </c>
      <c r="I358" s="123" t="e">
        <f t="shared" ca="1" si="16"/>
        <v>#N/A</v>
      </c>
      <c r="J358" s="123" t="e">
        <f t="shared" ca="1" si="17"/>
        <v>#N/A</v>
      </c>
    </row>
    <row r="359" spans="1:10">
      <c r="B359" s="121"/>
      <c r="C359" s="127"/>
      <c r="D359" s="153" t="str">
        <f ca="1">IFERROR(INDEX('入力表（利用申込のない夜間閉館）'!B$310:B$340,'様式１（区への申請用）'!J359,1),"")</f>
        <v/>
      </c>
      <c r="E359" s="154"/>
      <c r="H359" s="123">
        <v>21</v>
      </c>
      <c r="I359" s="123" t="e">
        <f t="shared" ca="1" si="16"/>
        <v>#N/A</v>
      </c>
      <c r="J359" s="123" t="e">
        <f t="shared" ca="1" si="17"/>
        <v>#N/A</v>
      </c>
    </row>
    <row r="360" spans="1:10">
      <c r="B360" s="121"/>
      <c r="C360" s="127"/>
      <c r="D360" s="153" t="str">
        <f ca="1">IFERROR(INDEX('入力表（利用申込のない夜間閉館）'!B$310:B$340,'様式１（区への申請用）'!J360,1),"")</f>
        <v/>
      </c>
      <c r="E360" s="154"/>
      <c r="H360" s="123">
        <v>22</v>
      </c>
      <c r="I360" s="123" t="e">
        <f t="shared" ca="1" si="16"/>
        <v>#N/A</v>
      </c>
      <c r="J360" s="123" t="e">
        <f t="shared" ca="1" si="17"/>
        <v>#N/A</v>
      </c>
    </row>
    <row r="361" spans="1:10">
      <c r="B361" s="121"/>
      <c r="C361" s="127"/>
      <c r="D361" s="153" t="str">
        <f ca="1">IFERROR(INDEX('入力表（利用申込のない夜間閉館）'!B$310:B$340,'様式１（区への申請用）'!J361,1),"")</f>
        <v/>
      </c>
      <c r="E361" s="154"/>
      <c r="H361" s="123">
        <v>23</v>
      </c>
      <c r="I361" s="123" t="e">
        <f t="shared" ca="1" si="16"/>
        <v>#N/A</v>
      </c>
      <c r="J361" s="123" t="e">
        <f t="shared" ca="1" si="17"/>
        <v>#N/A</v>
      </c>
    </row>
    <row r="362" spans="1:10">
      <c r="B362" s="121"/>
      <c r="C362" s="127"/>
      <c r="D362" s="153" t="str">
        <f ca="1">IFERROR(INDEX('入力表（利用申込のない夜間閉館）'!B$310:B$340,'様式１（区への申請用）'!J362,1),"")</f>
        <v/>
      </c>
      <c r="E362" s="154"/>
      <c r="H362" s="123">
        <v>24</v>
      </c>
      <c r="I362" s="123" t="e">
        <f t="shared" ca="1" si="16"/>
        <v>#N/A</v>
      </c>
      <c r="J362" s="123" t="e">
        <f t="shared" ca="1" si="17"/>
        <v>#N/A</v>
      </c>
    </row>
    <row r="363" spans="1:10">
      <c r="B363" s="121"/>
      <c r="C363" s="127"/>
      <c r="D363" s="153" t="str">
        <f ca="1">IFERROR(INDEX('入力表（利用申込のない夜間閉館）'!B$310:B$340,'様式１（区への申請用）'!J363,1),"")</f>
        <v/>
      </c>
      <c r="E363" s="154"/>
      <c r="H363" s="123">
        <v>25</v>
      </c>
      <c r="I363" s="123" t="e">
        <f t="shared" ca="1" si="16"/>
        <v>#N/A</v>
      </c>
      <c r="J363" s="123" t="e">
        <f t="shared" ca="1" si="17"/>
        <v>#N/A</v>
      </c>
    </row>
    <row r="364" spans="1:10">
      <c r="B364" s="121"/>
      <c r="C364" s="127"/>
      <c r="D364" s="153" t="str">
        <f ca="1">IFERROR(INDEX('入力表（利用申込のない夜間閉館）'!B$310:B$340,'様式１（区への申請用）'!J364,1),"")</f>
        <v/>
      </c>
      <c r="E364" s="154"/>
      <c r="H364" s="123">
        <v>26</v>
      </c>
      <c r="I364" s="123" t="e">
        <f t="shared" ca="1" si="16"/>
        <v>#N/A</v>
      </c>
      <c r="J364" s="123" t="e">
        <f t="shared" ca="1" si="17"/>
        <v>#N/A</v>
      </c>
    </row>
    <row r="365" spans="1:10">
      <c r="B365" s="128"/>
      <c r="C365" s="129"/>
      <c r="D365" s="153" t="str">
        <f ca="1">IFERROR(INDEX('入力表（利用申込のない夜間閉館）'!B$310:B$340,'様式１（区への申請用）'!J365,1),"")</f>
        <v/>
      </c>
      <c r="E365" s="154"/>
      <c r="H365" s="123">
        <v>27</v>
      </c>
      <c r="I365" s="123" t="e">
        <f t="shared" ca="1" si="16"/>
        <v>#N/A</v>
      </c>
      <c r="J365" s="123" t="e">
        <f t="shared" ca="1" si="17"/>
        <v>#N/A</v>
      </c>
    </row>
    <row r="366" spans="1:10">
      <c r="A366" s="113"/>
      <c r="H366" s="123">
        <v>28</v>
      </c>
      <c r="I366" s="123" t="e">
        <f t="shared" ca="1" si="16"/>
        <v>#N/A</v>
      </c>
      <c r="J366" s="123" t="e">
        <f t="shared" ca="1" si="17"/>
        <v>#N/A</v>
      </c>
    </row>
    <row r="367" spans="1:10">
      <c r="B367" s="130"/>
      <c r="C367" s="130"/>
      <c r="F367" s="130"/>
      <c r="H367" s="123">
        <v>29</v>
      </c>
      <c r="I367" s="123" t="e">
        <f t="shared" ca="1" si="16"/>
        <v>#N/A</v>
      </c>
      <c r="J367" s="123" t="e">
        <f t="shared" ca="1" si="17"/>
        <v>#N/A</v>
      </c>
    </row>
    <row r="368" spans="1:10">
      <c r="A368" s="130" t="str">
        <f>A327</f>
        <v>・原則として、１月分まとめて提出してください。</v>
      </c>
      <c r="H368" s="123">
        <v>30</v>
      </c>
      <c r="I368" s="123" t="e">
        <f t="shared" ca="1" si="16"/>
        <v>#N/A</v>
      </c>
      <c r="J368" s="123" t="e">
        <f t="shared" ca="1" si="17"/>
        <v>#N/A</v>
      </c>
    </row>
    <row r="369" spans="1:15">
      <c r="A369" s="131"/>
      <c r="H369" s="123">
        <v>31</v>
      </c>
      <c r="I369" s="123" t="e">
        <f t="shared" ca="1" si="16"/>
        <v>#N/A</v>
      </c>
      <c r="J369" s="123" t="e">
        <f t="shared" ca="1" si="17"/>
        <v>#N/A</v>
      </c>
    </row>
    <row r="370" spans="1:15">
      <c r="A370" s="109" t="str">
        <f>$A$1</f>
        <v>様式１（第２条第２項第２号）</v>
      </c>
      <c r="B370" s="109"/>
      <c r="C370" s="109"/>
      <c r="D370" s="109"/>
      <c r="E370" s="109"/>
      <c r="F370" s="109"/>
    </row>
    <row r="371" spans="1:15" ht="10.5" customHeight="1">
      <c r="A371" s="110"/>
    </row>
    <row r="372" spans="1:15">
      <c r="A372" s="157" t="str">
        <f>$A$3</f>
        <v>夜間閉館申請書</v>
      </c>
      <c r="B372" s="157"/>
      <c r="C372" s="157"/>
      <c r="D372" s="157"/>
      <c r="E372" s="157"/>
      <c r="F372" s="157"/>
    </row>
    <row r="373" spans="1:15">
      <c r="A373" s="111"/>
      <c r="B373" s="112"/>
      <c r="C373" s="112"/>
      <c r="D373" s="112"/>
      <c r="E373" s="112"/>
      <c r="F373" s="135" t="s">
        <v>111</v>
      </c>
    </row>
    <row r="374" spans="1:15">
      <c r="A374" s="113" t="str">
        <f>$A$5</f>
        <v>（申請先）</v>
      </c>
      <c r="B374" s="112"/>
      <c r="C374" s="112"/>
      <c r="D374" s="112"/>
      <c r="E374" s="112"/>
      <c r="F374" s="112"/>
    </row>
    <row r="375" spans="1:15">
      <c r="A375" s="114" t="str">
        <f>A6</f>
        <v>磯子</v>
      </c>
      <c r="B375" s="112" t="s">
        <v>82</v>
      </c>
      <c r="C375" s="112"/>
      <c r="D375" s="112"/>
      <c r="E375" s="112"/>
      <c r="F375" s="112"/>
    </row>
    <row r="376" spans="1:15">
      <c r="A376" s="112"/>
      <c r="B376" s="112"/>
      <c r="C376" s="112"/>
      <c r="D376" s="112"/>
      <c r="E376" s="132" t="str">
        <f>E7</f>
        <v>洋光台</v>
      </c>
      <c r="F376" s="112" t="s">
        <v>83</v>
      </c>
    </row>
    <row r="377" spans="1:15" ht="12.75" customHeight="1">
      <c r="A377" s="113"/>
      <c r="B377" s="112"/>
      <c r="C377" s="112"/>
      <c r="D377" s="112"/>
      <c r="E377" s="112"/>
      <c r="F377" s="112"/>
      <c r="H377">
        <f>H336+$J$8</f>
        <v>348</v>
      </c>
    </row>
    <row r="378" spans="1:15" ht="57.75" customHeight="1" thickBot="1">
      <c r="A378" s="158" t="str">
        <f>A337</f>
        <v>　月曜日から土曜日の午後６時から午後９時（以下「夜間」という。）の施設利用の申込について、横浜市地域ケアプラザ施設使用及び目的外使用に関する要綱（以下「施設使用要綱」という。）第７条及び第８条に定める手続きが行われていない日のうち、次の日の夜間閉館を申請します。</v>
      </c>
      <c r="B378" s="158"/>
      <c r="C378" s="158"/>
      <c r="D378" s="158"/>
      <c r="E378" s="158"/>
      <c r="F378" s="158"/>
      <c r="H378">
        <f>H337+$J$8</f>
        <v>378</v>
      </c>
    </row>
    <row r="379" spans="1:15" s="115" customFormat="1" ht="19.5" thickBot="1">
      <c r="A379" s="116"/>
      <c r="B379" s="159" t="str">
        <f>B338</f>
        <v>年月</v>
      </c>
      <c r="C379" s="160"/>
      <c r="D379" s="117" t="str">
        <f>D338</f>
        <v>日</v>
      </c>
      <c r="E379" s="118" t="str">
        <f>E338</f>
        <v>（曜日）</v>
      </c>
      <c r="F379" s="116"/>
      <c r="H379" s="119" t="s">
        <v>65</v>
      </c>
      <c r="I379" s="120" t="s">
        <v>63</v>
      </c>
      <c r="J379" s="120" t="s">
        <v>64</v>
      </c>
    </row>
    <row r="380" spans="1:15">
      <c r="A380" s="112"/>
      <c r="B380" s="121" t="s">
        <v>100</v>
      </c>
      <c r="C380" s="122" t="s">
        <v>74</v>
      </c>
      <c r="D380" s="155">
        <f>IFERROR(INDEX('入力表（利用申込のない夜間閉館）'!B$348:B$378,'様式１（区への申請用）'!J380,1),"")</f>
        <v>46027</v>
      </c>
      <c r="E380" s="156"/>
      <c r="F380" s="112"/>
      <c r="H380" s="123">
        <v>1</v>
      </c>
      <c r="I380" s="124">
        <f>MATCH("利用申込のない夜間閉館",'入力表（利用申込のない夜間閉館）'!E348:E378,0)</f>
        <v>5</v>
      </c>
      <c r="J380" s="124">
        <f>I380</f>
        <v>5</v>
      </c>
      <c r="L380" s="115"/>
      <c r="M380" s="115"/>
      <c r="O380" s="125"/>
    </row>
    <row r="381" spans="1:15">
      <c r="A381" s="112"/>
      <c r="B381" s="126">
        <v>2026</v>
      </c>
      <c r="C381" s="122"/>
      <c r="D381" s="153">
        <f ca="1">IFERROR(INDEX('入力表（利用申込のない夜間閉館）'!B$348:B$378,'様式１（区への申請用）'!J381,1),"")</f>
        <v>46028</v>
      </c>
      <c r="E381" s="154"/>
      <c r="F381" s="112"/>
      <c r="H381" s="123">
        <v>2</v>
      </c>
      <c r="I381" s="123">
        <f ca="1">MATCH("利用申込のない夜間閉館",INDIRECT("'入力表（利用申込のない夜間閉館）'!E"&amp;348+J380&amp;":e378"),0)</f>
        <v>1</v>
      </c>
      <c r="J381" s="123">
        <f ca="1">SUM(I380+I381)</f>
        <v>6</v>
      </c>
      <c r="O381" s="125"/>
    </row>
    <row r="382" spans="1:15">
      <c r="A382" s="112"/>
      <c r="B382" s="121"/>
      <c r="C382" s="122"/>
      <c r="D382" s="153">
        <f ca="1">IFERROR(INDEX('入力表（利用申込のない夜間閉館）'!B$348:B$378,'様式１（区への申請用）'!J382,1),"")</f>
        <v>46030</v>
      </c>
      <c r="E382" s="154"/>
      <c r="F382" s="112"/>
      <c r="H382" s="123">
        <v>3</v>
      </c>
      <c r="I382" s="123">
        <f t="shared" ref="I382:I410" ca="1" si="18">MATCH("利用申込のない夜間閉館",INDIRECT("'入力表（利用申込のない夜間閉館）'!E"&amp;348+J381&amp;":e378"),0)</f>
        <v>2</v>
      </c>
      <c r="J382" s="123">
        <f ca="1">SUM(J381+I382)</f>
        <v>8</v>
      </c>
      <c r="O382" s="125"/>
    </row>
    <row r="383" spans="1:15">
      <c r="A383" s="112"/>
      <c r="B383" s="121"/>
      <c r="C383" s="127"/>
      <c r="D383" s="153">
        <f ca="1">IFERROR(INDEX('入力表（利用申込のない夜間閉館）'!B$348:B$378,'様式１（区への申請用）'!J383,1),"")</f>
        <v>46032</v>
      </c>
      <c r="E383" s="154"/>
      <c r="F383" s="112"/>
      <c r="H383" s="123">
        <v>4</v>
      </c>
      <c r="I383" s="123">
        <f t="shared" ca="1" si="18"/>
        <v>2</v>
      </c>
      <c r="J383" s="123">
        <f t="shared" ref="J383:J410" ca="1" si="19">SUM(J382+I383)</f>
        <v>10</v>
      </c>
      <c r="O383" s="125"/>
    </row>
    <row r="384" spans="1:15">
      <c r="A384" s="112"/>
      <c r="B384" s="121"/>
      <c r="C384" s="127"/>
      <c r="D384" s="153">
        <f ca="1">IFERROR(INDEX('入力表（利用申込のない夜間閉館）'!B$348:B$378,'様式１（区への申請用）'!J384,1),"")</f>
        <v>46037</v>
      </c>
      <c r="E384" s="154"/>
      <c r="F384" s="112"/>
      <c r="H384" s="123">
        <v>5</v>
      </c>
      <c r="I384" s="123">
        <f t="shared" ca="1" si="18"/>
        <v>5</v>
      </c>
      <c r="J384" s="123">
        <f t="shared" ca="1" si="19"/>
        <v>15</v>
      </c>
      <c r="O384" s="125"/>
    </row>
    <row r="385" spans="1:15">
      <c r="A385" s="112"/>
      <c r="B385" s="121"/>
      <c r="C385" s="127"/>
      <c r="D385" s="153">
        <f ca="1">IFERROR(INDEX('入力表（利用申込のない夜間閉館）'!B$348:B$378,'様式１（区への申請用）'!J385,1),"")</f>
        <v>46042</v>
      </c>
      <c r="E385" s="154"/>
      <c r="F385" s="112"/>
      <c r="H385" s="123">
        <v>6</v>
      </c>
      <c r="I385" s="123">
        <f t="shared" ca="1" si="18"/>
        <v>5</v>
      </c>
      <c r="J385" s="123">
        <f t="shared" ca="1" si="19"/>
        <v>20</v>
      </c>
      <c r="O385" s="125"/>
    </row>
    <row r="386" spans="1:15">
      <c r="A386" s="112"/>
      <c r="B386" s="121"/>
      <c r="C386" s="127"/>
      <c r="D386" s="153">
        <f ca="1">IFERROR(INDEX('入力表（利用申込のない夜間閉館）'!B$348:B$378,'様式１（区への申請用）'!J386,1),"")</f>
        <v>46044</v>
      </c>
      <c r="E386" s="154"/>
      <c r="F386" s="112"/>
      <c r="H386" s="123">
        <v>7</v>
      </c>
      <c r="I386" s="123">
        <f t="shared" ca="1" si="18"/>
        <v>2</v>
      </c>
      <c r="J386" s="123">
        <f t="shared" ca="1" si="19"/>
        <v>22</v>
      </c>
      <c r="O386" s="125"/>
    </row>
    <row r="387" spans="1:15">
      <c r="A387" s="112"/>
      <c r="B387" s="121"/>
      <c r="C387" s="127"/>
      <c r="D387" s="153">
        <f ca="1">IFERROR(INDEX('入力表（利用申込のない夜間閉館）'!B$348:B$378,'様式１（区への申請用）'!J387,1),"")</f>
        <v>46046</v>
      </c>
      <c r="E387" s="154"/>
      <c r="F387" s="112"/>
      <c r="H387" s="123">
        <v>8</v>
      </c>
      <c r="I387" s="123">
        <f t="shared" ca="1" si="18"/>
        <v>2</v>
      </c>
      <c r="J387" s="123">
        <f t="shared" ca="1" si="19"/>
        <v>24</v>
      </c>
    </row>
    <row r="388" spans="1:15">
      <c r="A388" s="112"/>
      <c r="B388" s="121"/>
      <c r="C388" s="127"/>
      <c r="D388" s="153">
        <f ca="1">IFERROR(INDEX('入力表（利用申込のない夜間閉館）'!B$348:B$378,'様式１（区への申請用）'!J388,1),"")</f>
        <v>46048</v>
      </c>
      <c r="E388" s="154"/>
      <c r="F388" s="112"/>
      <c r="H388" s="123">
        <v>9</v>
      </c>
      <c r="I388" s="123">
        <f t="shared" ca="1" si="18"/>
        <v>2</v>
      </c>
      <c r="J388" s="123">
        <f t="shared" ca="1" si="19"/>
        <v>26</v>
      </c>
    </row>
    <row r="389" spans="1:15">
      <c r="A389" s="112"/>
      <c r="B389" s="121"/>
      <c r="C389" s="127"/>
      <c r="D389" s="153">
        <f ca="1">IFERROR(INDEX('入力表（利用申込のない夜間閉館）'!B$348:B$378,'様式１（区への申請用）'!J389,1),"")</f>
        <v>46051</v>
      </c>
      <c r="E389" s="154"/>
      <c r="F389" s="112"/>
      <c r="H389" s="123">
        <v>10</v>
      </c>
      <c r="I389" s="123">
        <f t="shared" ca="1" si="18"/>
        <v>3</v>
      </c>
      <c r="J389" s="123">
        <f t="shared" ca="1" si="19"/>
        <v>29</v>
      </c>
    </row>
    <row r="390" spans="1:15">
      <c r="A390" s="112"/>
      <c r="B390" s="121"/>
      <c r="C390" s="127"/>
      <c r="D390" s="153">
        <f ca="1">IFERROR(INDEX('入力表（利用申込のない夜間閉館）'!B$348:B$378,'様式１（区への申請用）'!J390,1),"")</f>
        <v>46053</v>
      </c>
      <c r="E390" s="154"/>
      <c r="F390" s="112"/>
      <c r="H390" s="123">
        <v>11</v>
      </c>
      <c r="I390" s="123">
        <f t="shared" ca="1" si="18"/>
        <v>2</v>
      </c>
      <c r="J390" s="123">
        <f t="shared" ca="1" si="19"/>
        <v>31</v>
      </c>
    </row>
    <row r="391" spans="1:15">
      <c r="A391" s="112"/>
      <c r="B391" s="121"/>
      <c r="C391" s="127"/>
      <c r="D391" s="153" t="str">
        <f ca="1">IFERROR(INDEX('入力表（利用申込のない夜間閉館）'!B$348:B$378,'様式１（区への申請用）'!J391,1),"")</f>
        <v/>
      </c>
      <c r="E391" s="154"/>
      <c r="F391" s="112"/>
      <c r="H391" s="123">
        <v>12</v>
      </c>
      <c r="I391" s="123">
        <f t="shared" ca="1" si="18"/>
        <v>1</v>
      </c>
      <c r="J391" s="123">
        <f t="shared" ca="1" si="19"/>
        <v>32</v>
      </c>
    </row>
    <row r="392" spans="1:15">
      <c r="A392" s="112"/>
      <c r="B392" s="121"/>
      <c r="C392" s="127"/>
      <c r="D392" s="153" t="str">
        <f ca="1">IFERROR(INDEX('入力表（利用申込のない夜間閉館）'!B$348:B$378,'様式１（区への申請用）'!J392,1),"")</f>
        <v/>
      </c>
      <c r="E392" s="154"/>
      <c r="F392" s="112"/>
      <c r="H392" s="123">
        <v>13</v>
      </c>
      <c r="I392" s="123">
        <f t="shared" ca="1" si="18"/>
        <v>1</v>
      </c>
      <c r="J392" s="123">
        <f t="shared" ca="1" si="19"/>
        <v>33</v>
      </c>
    </row>
    <row r="393" spans="1:15">
      <c r="A393" s="112"/>
      <c r="B393" s="121"/>
      <c r="C393" s="127"/>
      <c r="D393" s="153" t="str">
        <f ca="1">IFERROR(INDEX('入力表（利用申込のない夜間閉館）'!B$348:B$378,'様式１（区への申請用）'!J393,1),"")</f>
        <v/>
      </c>
      <c r="E393" s="154"/>
      <c r="F393" s="112"/>
      <c r="H393" s="123">
        <v>14</v>
      </c>
      <c r="I393" s="123">
        <f t="shared" ca="1" si="18"/>
        <v>1</v>
      </c>
      <c r="J393" s="123">
        <f t="shared" ca="1" si="19"/>
        <v>34</v>
      </c>
    </row>
    <row r="394" spans="1:15">
      <c r="A394" s="112"/>
      <c r="B394" s="121"/>
      <c r="C394" s="127"/>
      <c r="D394" s="153" t="str">
        <f ca="1">IFERROR(INDEX('入力表（利用申込のない夜間閉館）'!B$348:B$378,'様式１（区への申請用）'!J394,1),"")</f>
        <v/>
      </c>
      <c r="E394" s="154"/>
      <c r="F394" s="112"/>
      <c r="H394" s="123">
        <v>15</v>
      </c>
      <c r="I394" s="123">
        <f t="shared" ca="1" si="18"/>
        <v>1</v>
      </c>
      <c r="J394" s="123">
        <f t="shared" ca="1" si="19"/>
        <v>35</v>
      </c>
    </row>
    <row r="395" spans="1:15">
      <c r="A395" s="112"/>
      <c r="B395" s="121"/>
      <c r="C395" s="127"/>
      <c r="D395" s="153" t="str">
        <f ca="1">IFERROR(INDEX('入力表（利用申込のない夜間閉館）'!B$348:B$378,'様式１（区への申請用）'!J395,1),"")</f>
        <v/>
      </c>
      <c r="E395" s="154"/>
      <c r="F395" s="112"/>
      <c r="H395" s="123">
        <v>16</v>
      </c>
      <c r="I395" s="123">
        <f t="shared" ca="1" si="18"/>
        <v>1</v>
      </c>
      <c r="J395" s="123">
        <f t="shared" ca="1" si="19"/>
        <v>36</v>
      </c>
    </row>
    <row r="396" spans="1:15">
      <c r="A396" s="112"/>
      <c r="B396" s="121"/>
      <c r="C396" s="127"/>
      <c r="D396" s="153" t="str">
        <f ca="1">IFERROR(INDEX('入力表（利用申込のない夜間閉館）'!B$348:B$378,'様式１（区への申請用）'!J396,1),"")</f>
        <v/>
      </c>
      <c r="E396" s="154"/>
      <c r="F396" s="112"/>
      <c r="H396" s="123">
        <v>17</v>
      </c>
      <c r="I396" s="123">
        <f t="shared" ca="1" si="18"/>
        <v>1</v>
      </c>
      <c r="J396" s="123">
        <f t="shared" ca="1" si="19"/>
        <v>37</v>
      </c>
    </row>
    <row r="397" spans="1:15">
      <c r="A397" s="112"/>
      <c r="B397" s="121"/>
      <c r="C397" s="127"/>
      <c r="D397" s="153" t="str">
        <f ca="1">IFERROR(INDEX('入力表（利用申込のない夜間閉館）'!B$348:B$378,'様式１（区への申請用）'!J397,1),"")</f>
        <v/>
      </c>
      <c r="E397" s="154"/>
      <c r="F397" s="112"/>
      <c r="H397" s="123">
        <v>18</v>
      </c>
      <c r="I397" s="123">
        <f t="shared" ca="1" si="18"/>
        <v>1</v>
      </c>
      <c r="J397" s="123">
        <f t="shared" ca="1" si="19"/>
        <v>38</v>
      </c>
    </row>
    <row r="398" spans="1:15">
      <c r="A398" s="112"/>
      <c r="B398" s="121"/>
      <c r="C398" s="127"/>
      <c r="D398" s="153" t="str">
        <f ca="1">IFERROR(INDEX('入力表（利用申込のない夜間閉館）'!B$348:B$378,'様式１（区への申請用）'!J398,1),"")</f>
        <v/>
      </c>
      <c r="E398" s="154"/>
      <c r="F398" s="112"/>
      <c r="H398" s="123">
        <v>19</v>
      </c>
      <c r="I398" s="123">
        <f t="shared" ca="1" si="18"/>
        <v>1</v>
      </c>
      <c r="J398" s="123">
        <f t="shared" ca="1" si="19"/>
        <v>39</v>
      </c>
    </row>
    <row r="399" spans="1:15">
      <c r="A399" s="112"/>
      <c r="B399" s="121"/>
      <c r="C399" s="127"/>
      <c r="D399" s="153" t="str">
        <f ca="1">IFERROR(INDEX('入力表（利用申込のない夜間閉館）'!B$348:B$378,'様式１（区への申請用）'!J399,1),"")</f>
        <v/>
      </c>
      <c r="E399" s="154"/>
      <c r="F399" s="112"/>
      <c r="H399" s="123">
        <v>20</v>
      </c>
      <c r="I399" s="123">
        <f t="shared" ca="1" si="18"/>
        <v>1</v>
      </c>
      <c r="J399" s="123">
        <f t="shared" ca="1" si="19"/>
        <v>40</v>
      </c>
    </row>
    <row r="400" spans="1:15">
      <c r="A400" s="112"/>
      <c r="B400" s="121"/>
      <c r="C400" s="127"/>
      <c r="D400" s="153" t="str">
        <f ca="1">IFERROR(INDEX('入力表（利用申込のない夜間閉館）'!B$348:B$378,'様式１（区への申請用）'!J400,1),"")</f>
        <v/>
      </c>
      <c r="E400" s="154"/>
      <c r="F400" s="112"/>
      <c r="H400" s="123">
        <v>21</v>
      </c>
      <c r="I400" s="123">
        <f t="shared" ca="1" si="18"/>
        <v>1</v>
      </c>
      <c r="J400" s="123">
        <f t="shared" ca="1" si="19"/>
        <v>41</v>
      </c>
    </row>
    <row r="401" spans="1:10">
      <c r="A401" s="112"/>
      <c r="B401" s="121"/>
      <c r="C401" s="127"/>
      <c r="D401" s="153" t="str">
        <f ca="1">IFERROR(INDEX('入力表（利用申込のない夜間閉館）'!B$348:B$378,'様式１（区への申請用）'!J401,1),"")</f>
        <v/>
      </c>
      <c r="E401" s="154"/>
      <c r="F401" s="112"/>
      <c r="H401" s="123">
        <v>22</v>
      </c>
      <c r="I401" s="123">
        <f t="shared" ca="1" si="18"/>
        <v>1</v>
      </c>
      <c r="J401" s="123">
        <f t="shared" ca="1" si="19"/>
        <v>42</v>
      </c>
    </row>
    <row r="402" spans="1:10">
      <c r="A402" s="112"/>
      <c r="B402" s="121"/>
      <c r="C402" s="127"/>
      <c r="D402" s="153" t="str">
        <f ca="1">IFERROR(INDEX('入力表（利用申込のない夜間閉館）'!B$348:B$378,'様式１（区への申請用）'!J402,1),"")</f>
        <v/>
      </c>
      <c r="E402" s="154"/>
      <c r="F402" s="112"/>
      <c r="H402" s="123">
        <v>23</v>
      </c>
      <c r="I402" s="123">
        <f t="shared" ca="1" si="18"/>
        <v>1</v>
      </c>
      <c r="J402" s="123">
        <f t="shared" ca="1" si="19"/>
        <v>43</v>
      </c>
    </row>
    <row r="403" spans="1:10">
      <c r="A403" s="112"/>
      <c r="B403" s="121"/>
      <c r="C403" s="127"/>
      <c r="D403" s="153" t="str">
        <f ca="1">IFERROR(INDEX('入力表（利用申込のない夜間閉館）'!B$348:B$378,'様式１（区への申請用）'!J403,1),"")</f>
        <v/>
      </c>
      <c r="E403" s="154"/>
      <c r="F403" s="112"/>
      <c r="H403" s="123">
        <v>24</v>
      </c>
      <c r="I403" s="123">
        <f t="shared" ca="1" si="18"/>
        <v>1</v>
      </c>
      <c r="J403" s="123">
        <f t="shared" ca="1" si="19"/>
        <v>44</v>
      </c>
    </row>
    <row r="404" spans="1:10">
      <c r="A404" s="112"/>
      <c r="B404" s="121"/>
      <c r="C404" s="127"/>
      <c r="D404" s="153" t="str">
        <f ca="1">IFERROR(INDEX('入力表（利用申込のない夜間閉館）'!B$348:B$378,'様式１（区への申請用）'!J404,1),"")</f>
        <v/>
      </c>
      <c r="E404" s="154"/>
      <c r="F404" s="112"/>
      <c r="H404" s="123">
        <v>25</v>
      </c>
      <c r="I404" s="123">
        <f t="shared" ca="1" si="18"/>
        <v>1</v>
      </c>
      <c r="J404" s="123">
        <f t="shared" ca="1" si="19"/>
        <v>45</v>
      </c>
    </row>
    <row r="405" spans="1:10">
      <c r="A405" s="112"/>
      <c r="B405" s="121"/>
      <c r="C405" s="127"/>
      <c r="D405" s="153" t="str">
        <f ca="1">IFERROR(INDEX('入力表（利用申込のない夜間閉館）'!B$348:B$378,'様式１（区への申請用）'!J405,1),"")</f>
        <v/>
      </c>
      <c r="E405" s="154"/>
      <c r="F405" s="112"/>
      <c r="H405" s="123">
        <v>26</v>
      </c>
      <c r="I405" s="123">
        <f t="shared" ca="1" si="18"/>
        <v>1</v>
      </c>
      <c r="J405" s="123">
        <f t="shared" ca="1" si="19"/>
        <v>46</v>
      </c>
    </row>
    <row r="406" spans="1:10">
      <c r="A406" s="112"/>
      <c r="B406" s="128"/>
      <c r="C406" s="129"/>
      <c r="D406" s="153" t="str">
        <f ca="1">IFERROR(INDEX('入力表（利用申込のない夜間閉館）'!B$348:B$378,'様式１（区への申請用）'!J406,1),"")</f>
        <v/>
      </c>
      <c r="E406" s="154"/>
      <c r="F406" s="112"/>
      <c r="H406" s="123">
        <v>27</v>
      </c>
      <c r="I406" s="123">
        <f t="shared" ca="1" si="18"/>
        <v>1</v>
      </c>
      <c r="J406" s="123">
        <f t="shared" ca="1" si="19"/>
        <v>47</v>
      </c>
    </row>
    <row r="407" spans="1:10">
      <c r="A407" s="113"/>
      <c r="B407" s="112"/>
      <c r="C407" s="112"/>
      <c r="D407" s="112"/>
      <c r="E407" s="112"/>
      <c r="F407" s="112"/>
      <c r="H407" s="123">
        <v>28</v>
      </c>
      <c r="I407" s="123">
        <f t="shared" ca="1" si="18"/>
        <v>1</v>
      </c>
      <c r="J407" s="123">
        <f t="shared" ca="1" si="19"/>
        <v>48</v>
      </c>
    </row>
    <row r="408" spans="1:10">
      <c r="A408" s="112"/>
      <c r="B408" s="130"/>
      <c r="C408" s="130"/>
      <c r="D408" s="112"/>
      <c r="E408" s="112"/>
      <c r="F408" s="130"/>
      <c r="H408" s="123">
        <v>29</v>
      </c>
      <c r="I408" s="123">
        <f t="shared" ca="1" si="18"/>
        <v>1</v>
      </c>
      <c r="J408" s="123">
        <f t="shared" ca="1" si="19"/>
        <v>49</v>
      </c>
    </row>
    <row r="409" spans="1:10">
      <c r="A409" s="130" t="str">
        <f>A368</f>
        <v>・原則として、１月分まとめて提出してください。</v>
      </c>
      <c r="B409" s="112"/>
      <c r="C409" s="112"/>
      <c r="D409" s="112"/>
      <c r="E409" s="112"/>
      <c r="F409" s="112"/>
      <c r="H409" s="123">
        <v>30</v>
      </c>
      <c r="I409" s="123">
        <f t="shared" ca="1" si="18"/>
        <v>1</v>
      </c>
      <c r="J409" s="123">
        <f t="shared" ca="1" si="19"/>
        <v>50</v>
      </c>
    </row>
    <row r="410" spans="1:10">
      <c r="A410" s="131"/>
      <c r="B410" s="112"/>
      <c r="C410" s="112"/>
      <c r="D410" s="112"/>
      <c r="E410" s="112"/>
      <c r="F410" s="112"/>
      <c r="H410" s="123">
        <v>31</v>
      </c>
      <c r="I410" s="123">
        <f t="shared" ca="1" si="18"/>
        <v>1</v>
      </c>
      <c r="J410" s="123">
        <f t="shared" ca="1" si="19"/>
        <v>51</v>
      </c>
    </row>
    <row r="411" spans="1:10">
      <c r="A411" s="109" t="str">
        <f>$A$1</f>
        <v>様式１（第２条第２項第２号）</v>
      </c>
      <c r="B411" s="109"/>
      <c r="C411" s="109"/>
      <c r="D411" s="109"/>
      <c r="E411" s="109"/>
      <c r="F411" s="109"/>
    </row>
    <row r="412" spans="1:10" ht="10.5" customHeight="1">
      <c r="A412" s="110"/>
    </row>
    <row r="413" spans="1:10">
      <c r="A413" s="157" t="str">
        <f>$A$3</f>
        <v>夜間閉館申請書</v>
      </c>
      <c r="B413" s="157"/>
      <c r="C413" s="157"/>
      <c r="D413" s="157"/>
      <c r="E413" s="157"/>
      <c r="F413" s="157"/>
    </row>
    <row r="414" spans="1:10">
      <c r="A414" s="111"/>
      <c r="B414" s="112"/>
      <c r="C414" s="112"/>
      <c r="D414" s="112"/>
      <c r="E414" s="112"/>
      <c r="F414" s="135" t="s">
        <v>112</v>
      </c>
    </row>
    <row r="415" spans="1:10">
      <c r="A415" s="113" t="str">
        <f>$A$5</f>
        <v>（申請先）</v>
      </c>
      <c r="B415" s="112"/>
      <c r="C415" s="112"/>
      <c r="D415" s="112"/>
      <c r="E415" s="112"/>
      <c r="F415" s="112"/>
    </row>
    <row r="416" spans="1:10">
      <c r="A416" s="114" t="str">
        <f>A6</f>
        <v>磯子</v>
      </c>
      <c r="B416" s="112" t="s">
        <v>82</v>
      </c>
      <c r="C416" s="112"/>
      <c r="D416" s="112"/>
      <c r="E416" s="112"/>
      <c r="F416" s="112"/>
    </row>
    <row r="417" spans="1:15">
      <c r="A417" s="112"/>
      <c r="B417" s="112"/>
      <c r="C417" s="112"/>
      <c r="D417" s="112"/>
      <c r="E417" s="132" t="str">
        <f>E7</f>
        <v>洋光台</v>
      </c>
      <c r="F417" s="112" t="s">
        <v>83</v>
      </c>
    </row>
    <row r="418" spans="1:15" ht="12.75" customHeight="1">
      <c r="A418" s="113"/>
      <c r="B418" s="112"/>
      <c r="C418" s="112"/>
      <c r="D418" s="112"/>
      <c r="E418" s="112"/>
      <c r="F418" s="112"/>
      <c r="H418">
        <f>H377+$J$8</f>
        <v>386</v>
      </c>
    </row>
    <row r="419" spans="1:15" ht="57.75" customHeight="1" thickBot="1">
      <c r="A419" s="158" t="str">
        <f>A378</f>
        <v>　月曜日から土曜日の午後６時から午後９時（以下「夜間」という。）の施設利用の申込について、横浜市地域ケアプラザ施設使用及び目的外使用に関する要綱（以下「施設使用要綱」という。）第７条及び第８条に定める手続きが行われていない日のうち、次の日の夜間閉館を申請します。</v>
      </c>
      <c r="B419" s="158"/>
      <c r="C419" s="158"/>
      <c r="D419" s="158"/>
      <c r="E419" s="158"/>
      <c r="F419" s="158"/>
      <c r="H419">
        <f>H378+$J$8</f>
        <v>416</v>
      </c>
    </row>
    <row r="420" spans="1:15" s="115" customFormat="1" ht="19.5" thickBot="1">
      <c r="A420" s="116"/>
      <c r="B420" s="159" t="str">
        <f>B379</f>
        <v>年月</v>
      </c>
      <c r="C420" s="160"/>
      <c r="D420" s="117" t="str">
        <f>D379</f>
        <v>日</v>
      </c>
      <c r="E420" s="118" t="str">
        <f>E379</f>
        <v>（曜日）</v>
      </c>
      <c r="F420" s="116"/>
      <c r="H420" s="119" t="s">
        <v>65</v>
      </c>
      <c r="I420" s="120" t="s">
        <v>63</v>
      </c>
      <c r="J420" s="120" t="s">
        <v>64</v>
      </c>
    </row>
    <row r="421" spans="1:15">
      <c r="A421" s="112"/>
      <c r="B421" s="121" t="str">
        <f>$B$380</f>
        <v>令和８年</v>
      </c>
      <c r="C421" s="122" t="s">
        <v>75</v>
      </c>
      <c r="D421" s="155">
        <f>IFERROR(INDEX('入力表（利用申込のない夜間閉館）'!B$386:B$416,'様式１（区への申請用）'!J421,1),"")</f>
        <v>46055</v>
      </c>
      <c r="E421" s="156"/>
      <c r="F421" s="112"/>
      <c r="H421" s="123">
        <v>1</v>
      </c>
      <c r="I421" s="124">
        <f>MATCH("利用申込のない夜間閉館",'入力表（利用申込のない夜間閉館）'!E386:E416,0)</f>
        <v>2</v>
      </c>
      <c r="J421" s="124">
        <f>I421</f>
        <v>2</v>
      </c>
      <c r="L421" s="115"/>
      <c r="M421" s="115"/>
      <c r="O421" s="125"/>
    </row>
    <row r="422" spans="1:15">
      <c r="A422" s="112"/>
      <c r="B422" s="126">
        <f>$B$381</f>
        <v>2026</v>
      </c>
      <c r="C422" s="122"/>
      <c r="D422" s="153">
        <f ca="1">IFERROR(INDEX('入力表（利用申込のない夜間閉館）'!B$386:B$416,'様式１（区への申請用）'!J422,1),"")</f>
        <v>46056</v>
      </c>
      <c r="E422" s="154"/>
      <c r="F422" s="112"/>
      <c r="H422" s="123">
        <v>2</v>
      </c>
      <c r="I422" s="123">
        <f ca="1">MATCH("利用申込のない夜間閉館",INDIRECT("'入力表（利用申込のない夜間閉館）'!E"&amp;386+J421&amp;":e416"),0)</f>
        <v>1</v>
      </c>
      <c r="J422" s="123">
        <f ca="1">SUM(I421+I422)</f>
        <v>3</v>
      </c>
      <c r="O422" s="125"/>
    </row>
    <row r="423" spans="1:15">
      <c r="A423" s="112"/>
      <c r="B423" s="121"/>
      <c r="C423" s="122"/>
      <c r="D423" s="153">
        <f ca="1">IFERROR(INDEX('入力表（利用申込のない夜間閉館）'!B$386:B$416,'様式１（区への申請用）'!J423,1),"")</f>
        <v>46058</v>
      </c>
      <c r="E423" s="154"/>
      <c r="F423" s="112"/>
      <c r="H423" s="123">
        <v>3</v>
      </c>
      <c r="I423" s="123">
        <f t="shared" ref="I423:I451" ca="1" si="20">MATCH("利用申込のない夜間閉館",INDIRECT("'入力表（利用申込のない夜間閉館）'!E"&amp;386+J422&amp;":e416"),0)</f>
        <v>2</v>
      </c>
      <c r="J423" s="123">
        <f ca="1">SUM(J422+I423)</f>
        <v>5</v>
      </c>
      <c r="O423" s="125"/>
    </row>
    <row r="424" spans="1:15">
      <c r="A424" s="112"/>
      <c r="B424" s="121"/>
      <c r="C424" s="127"/>
      <c r="D424" s="153">
        <f ca="1">IFERROR(INDEX('入力表（利用申込のない夜間閉館）'!B$386:B$416,'様式１（区への申請用）'!J424,1),"")</f>
        <v>46060</v>
      </c>
      <c r="E424" s="154"/>
      <c r="F424" s="112"/>
      <c r="H424" s="123">
        <v>4</v>
      </c>
      <c r="I424" s="123">
        <f t="shared" ca="1" si="20"/>
        <v>2</v>
      </c>
      <c r="J424" s="123">
        <f t="shared" ref="J424:J451" ca="1" si="21">SUM(J423+I424)</f>
        <v>7</v>
      </c>
      <c r="O424" s="125"/>
    </row>
    <row r="425" spans="1:15">
      <c r="A425" s="112"/>
      <c r="B425" s="121"/>
      <c r="C425" s="127"/>
      <c r="D425" s="153">
        <f ca="1">IFERROR(INDEX('入力表（利用申込のない夜間閉館）'!B$386:B$416,'様式１（区への申請用）'!J425,1),"")</f>
        <v>46062</v>
      </c>
      <c r="E425" s="154"/>
      <c r="F425" s="112"/>
      <c r="H425" s="123">
        <v>5</v>
      </c>
      <c r="I425" s="123">
        <f t="shared" ca="1" si="20"/>
        <v>2</v>
      </c>
      <c r="J425" s="123">
        <f t="shared" ca="1" si="21"/>
        <v>9</v>
      </c>
      <c r="O425" s="125"/>
    </row>
    <row r="426" spans="1:15">
      <c r="A426" s="112"/>
      <c r="B426" s="121"/>
      <c r="C426" s="127"/>
      <c r="D426" s="153">
        <f ca="1">IFERROR(INDEX('入力表（利用申込のない夜間閉館）'!B$386:B$416,'様式１（区への申請用）'!J426,1),"")</f>
        <v>46065</v>
      </c>
      <c r="E426" s="154"/>
      <c r="F426" s="112"/>
      <c r="H426" s="123">
        <v>6</v>
      </c>
      <c r="I426" s="123">
        <f t="shared" ca="1" si="20"/>
        <v>3</v>
      </c>
      <c r="J426" s="123">
        <f t="shared" ca="1" si="21"/>
        <v>12</v>
      </c>
      <c r="O426" s="125"/>
    </row>
    <row r="427" spans="1:15">
      <c r="A427" s="112"/>
      <c r="B427" s="121"/>
      <c r="C427" s="127"/>
      <c r="D427" s="153">
        <f ca="1">IFERROR(INDEX('入力表（利用申込のない夜間閉館）'!B$386:B$416,'様式１（区への申請用）'!J427,1),"")</f>
        <v>46067</v>
      </c>
      <c r="E427" s="154"/>
      <c r="F427" s="112"/>
      <c r="H427" s="123">
        <v>7</v>
      </c>
      <c r="I427" s="123">
        <f t="shared" ca="1" si="20"/>
        <v>2</v>
      </c>
      <c r="J427" s="123">
        <f t="shared" ca="1" si="21"/>
        <v>14</v>
      </c>
      <c r="O427" s="125"/>
    </row>
    <row r="428" spans="1:15">
      <c r="A428" s="112"/>
      <c r="B428" s="121"/>
      <c r="C428" s="127"/>
      <c r="D428" s="153">
        <f ca="1">IFERROR(INDEX('入力表（利用申込のない夜間閉館）'!B$386:B$416,'様式１（区への申請用）'!J428,1),"")</f>
        <v>46070</v>
      </c>
      <c r="E428" s="154"/>
      <c r="F428" s="112"/>
      <c r="H428" s="123">
        <v>8</v>
      </c>
      <c r="I428" s="123">
        <f t="shared" ca="1" si="20"/>
        <v>3</v>
      </c>
      <c r="J428" s="123">
        <f t="shared" ca="1" si="21"/>
        <v>17</v>
      </c>
    </row>
    <row r="429" spans="1:15">
      <c r="A429" s="112"/>
      <c r="B429" s="121"/>
      <c r="C429" s="127"/>
      <c r="D429" s="153">
        <f ca="1">IFERROR(INDEX('入力表（利用申込のない夜間閉館）'!B$386:B$416,'様式１（区への申請用）'!J429,1),"")</f>
        <v>46081</v>
      </c>
      <c r="E429" s="154"/>
      <c r="F429" s="112"/>
      <c r="H429" s="123">
        <v>9</v>
      </c>
      <c r="I429" s="123">
        <f t="shared" ca="1" si="20"/>
        <v>11</v>
      </c>
      <c r="J429" s="123">
        <f t="shared" ca="1" si="21"/>
        <v>28</v>
      </c>
    </row>
    <row r="430" spans="1:15">
      <c r="A430" s="112"/>
      <c r="B430" s="121"/>
      <c r="C430" s="127"/>
      <c r="D430" s="153" t="str">
        <f ca="1">IFERROR(INDEX('入力表（利用申込のない夜間閉館）'!B$386:B$416,'様式１（区への申請用）'!J430,1),"")</f>
        <v/>
      </c>
      <c r="E430" s="154"/>
      <c r="F430" s="112"/>
      <c r="H430" s="123">
        <v>10</v>
      </c>
      <c r="I430" s="123" t="e">
        <f t="shared" ca="1" si="20"/>
        <v>#N/A</v>
      </c>
      <c r="J430" s="123" t="e">
        <f t="shared" ca="1" si="21"/>
        <v>#N/A</v>
      </c>
    </row>
    <row r="431" spans="1:15">
      <c r="A431" s="112"/>
      <c r="B431" s="121"/>
      <c r="C431" s="127"/>
      <c r="D431" s="153" t="str">
        <f ca="1">IFERROR(INDEX('入力表（利用申込のない夜間閉館）'!B$386:B$416,'様式１（区への申請用）'!J431,1),"")</f>
        <v/>
      </c>
      <c r="E431" s="154"/>
      <c r="F431" s="112"/>
      <c r="H431" s="123">
        <v>11</v>
      </c>
      <c r="I431" s="123" t="e">
        <f t="shared" ca="1" si="20"/>
        <v>#N/A</v>
      </c>
      <c r="J431" s="123" t="e">
        <f t="shared" ca="1" si="21"/>
        <v>#N/A</v>
      </c>
    </row>
    <row r="432" spans="1:15">
      <c r="A432" s="112"/>
      <c r="B432" s="121"/>
      <c r="C432" s="127"/>
      <c r="D432" s="153" t="str">
        <f ca="1">IFERROR(INDEX('入力表（利用申込のない夜間閉館）'!B$386:B$416,'様式１（区への申請用）'!J432,1),"")</f>
        <v/>
      </c>
      <c r="E432" s="154"/>
      <c r="F432" s="112"/>
      <c r="H432" s="123">
        <v>12</v>
      </c>
      <c r="I432" s="123" t="e">
        <f t="shared" ca="1" si="20"/>
        <v>#N/A</v>
      </c>
      <c r="J432" s="123" t="e">
        <f t="shared" ca="1" si="21"/>
        <v>#N/A</v>
      </c>
    </row>
    <row r="433" spans="1:10">
      <c r="A433" s="112"/>
      <c r="B433" s="121"/>
      <c r="C433" s="127"/>
      <c r="D433" s="153" t="str">
        <f ca="1">IFERROR(INDEX('入力表（利用申込のない夜間閉館）'!B$386:B$416,'様式１（区への申請用）'!J433,1),"")</f>
        <v/>
      </c>
      <c r="E433" s="154"/>
      <c r="F433" s="112"/>
      <c r="H433" s="123">
        <v>13</v>
      </c>
      <c r="I433" s="123" t="e">
        <f t="shared" ca="1" si="20"/>
        <v>#N/A</v>
      </c>
      <c r="J433" s="123" t="e">
        <f t="shared" ca="1" si="21"/>
        <v>#N/A</v>
      </c>
    </row>
    <row r="434" spans="1:10">
      <c r="A434" s="112"/>
      <c r="B434" s="121"/>
      <c r="C434" s="127"/>
      <c r="D434" s="153" t="str">
        <f ca="1">IFERROR(INDEX('入力表（利用申込のない夜間閉館）'!B$386:B$416,'様式１（区への申請用）'!J434,1),"")</f>
        <v/>
      </c>
      <c r="E434" s="154"/>
      <c r="F434" s="112"/>
      <c r="H434" s="123">
        <v>14</v>
      </c>
      <c r="I434" s="123" t="e">
        <f t="shared" ca="1" si="20"/>
        <v>#N/A</v>
      </c>
      <c r="J434" s="123" t="e">
        <f t="shared" ca="1" si="21"/>
        <v>#N/A</v>
      </c>
    </row>
    <row r="435" spans="1:10">
      <c r="A435" s="112"/>
      <c r="B435" s="121"/>
      <c r="C435" s="127"/>
      <c r="D435" s="153" t="str">
        <f ca="1">IFERROR(INDEX('入力表（利用申込のない夜間閉館）'!B$386:B$416,'様式１（区への申請用）'!J435,1),"")</f>
        <v/>
      </c>
      <c r="E435" s="154"/>
      <c r="F435" s="112"/>
      <c r="H435" s="123">
        <v>15</v>
      </c>
      <c r="I435" s="123" t="e">
        <f t="shared" ca="1" si="20"/>
        <v>#N/A</v>
      </c>
      <c r="J435" s="123" t="e">
        <f t="shared" ca="1" si="21"/>
        <v>#N/A</v>
      </c>
    </row>
    <row r="436" spans="1:10">
      <c r="A436" s="112"/>
      <c r="B436" s="121"/>
      <c r="C436" s="127"/>
      <c r="D436" s="153" t="str">
        <f ca="1">IFERROR(INDEX('入力表（利用申込のない夜間閉館）'!B$386:B$416,'様式１（区への申請用）'!J436,1),"")</f>
        <v/>
      </c>
      <c r="E436" s="154"/>
      <c r="F436" s="112"/>
      <c r="H436" s="123">
        <v>16</v>
      </c>
      <c r="I436" s="123" t="e">
        <f t="shared" ca="1" si="20"/>
        <v>#N/A</v>
      </c>
      <c r="J436" s="123" t="e">
        <f t="shared" ca="1" si="21"/>
        <v>#N/A</v>
      </c>
    </row>
    <row r="437" spans="1:10">
      <c r="A437" s="112"/>
      <c r="B437" s="121"/>
      <c r="C437" s="127"/>
      <c r="D437" s="153" t="str">
        <f ca="1">IFERROR(INDEX('入力表（利用申込のない夜間閉館）'!B$386:B$416,'様式１（区への申請用）'!J437,1),"")</f>
        <v/>
      </c>
      <c r="E437" s="154"/>
      <c r="F437" s="112"/>
      <c r="H437" s="123">
        <v>17</v>
      </c>
      <c r="I437" s="123" t="e">
        <f t="shared" ca="1" si="20"/>
        <v>#N/A</v>
      </c>
      <c r="J437" s="123" t="e">
        <f t="shared" ca="1" si="21"/>
        <v>#N/A</v>
      </c>
    </row>
    <row r="438" spans="1:10">
      <c r="A438" s="112"/>
      <c r="B438" s="121"/>
      <c r="C438" s="127"/>
      <c r="D438" s="153" t="str">
        <f ca="1">IFERROR(INDEX('入力表（利用申込のない夜間閉館）'!B$386:B$416,'様式１（区への申請用）'!J438,1),"")</f>
        <v/>
      </c>
      <c r="E438" s="154"/>
      <c r="F438" s="112"/>
      <c r="H438" s="123">
        <v>18</v>
      </c>
      <c r="I438" s="123" t="e">
        <f t="shared" ca="1" si="20"/>
        <v>#N/A</v>
      </c>
      <c r="J438" s="123" t="e">
        <f t="shared" ca="1" si="21"/>
        <v>#N/A</v>
      </c>
    </row>
    <row r="439" spans="1:10">
      <c r="A439" s="112"/>
      <c r="B439" s="121"/>
      <c r="C439" s="127"/>
      <c r="D439" s="153" t="str">
        <f ca="1">IFERROR(INDEX('入力表（利用申込のない夜間閉館）'!B$386:B$416,'様式１（区への申請用）'!J439,1),"")</f>
        <v/>
      </c>
      <c r="E439" s="154"/>
      <c r="F439" s="112"/>
      <c r="H439" s="123">
        <v>19</v>
      </c>
      <c r="I439" s="123" t="e">
        <f t="shared" ca="1" si="20"/>
        <v>#N/A</v>
      </c>
      <c r="J439" s="123" t="e">
        <f t="shared" ca="1" si="21"/>
        <v>#N/A</v>
      </c>
    </row>
    <row r="440" spans="1:10">
      <c r="A440" s="112"/>
      <c r="B440" s="121"/>
      <c r="C440" s="127"/>
      <c r="D440" s="153" t="str">
        <f ca="1">IFERROR(INDEX('入力表（利用申込のない夜間閉館）'!B$386:B$416,'様式１（区への申請用）'!J440,1),"")</f>
        <v/>
      </c>
      <c r="E440" s="154"/>
      <c r="F440" s="112"/>
      <c r="H440" s="123">
        <v>20</v>
      </c>
      <c r="I440" s="123" t="e">
        <f t="shared" ca="1" si="20"/>
        <v>#N/A</v>
      </c>
      <c r="J440" s="123" t="e">
        <f t="shared" ca="1" si="21"/>
        <v>#N/A</v>
      </c>
    </row>
    <row r="441" spans="1:10">
      <c r="A441" s="112"/>
      <c r="B441" s="121"/>
      <c r="C441" s="127"/>
      <c r="D441" s="153" t="str">
        <f ca="1">IFERROR(INDEX('入力表（利用申込のない夜間閉館）'!B$386:B$416,'様式１（区への申請用）'!J441,1),"")</f>
        <v/>
      </c>
      <c r="E441" s="154"/>
      <c r="F441" s="112"/>
      <c r="H441" s="123">
        <v>21</v>
      </c>
      <c r="I441" s="123" t="e">
        <f t="shared" ca="1" si="20"/>
        <v>#N/A</v>
      </c>
      <c r="J441" s="123" t="e">
        <f t="shared" ca="1" si="21"/>
        <v>#N/A</v>
      </c>
    </row>
    <row r="442" spans="1:10">
      <c r="A442" s="112"/>
      <c r="B442" s="121"/>
      <c r="C442" s="127"/>
      <c r="D442" s="153" t="str">
        <f ca="1">IFERROR(INDEX('入力表（利用申込のない夜間閉館）'!B$386:B$416,'様式１（区への申請用）'!J442,1),"")</f>
        <v/>
      </c>
      <c r="E442" s="154"/>
      <c r="F442" s="112"/>
      <c r="H442" s="123">
        <v>22</v>
      </c>
      <c r="I442" s="123" t="e">
        <f t="shared" ca="1" si="20"/>
        <v>#N/A</v>
      </c>
      <c r="J442" s="123" t="e">
        <f t="shared" ca="1" si="21"/>
        <v>#N/A</v>
      </c>
    </row>
    <row r="443" spans="1:10">
      <c r="A443" s="112"/>
      <c r="B443" s="121"/>
      <c r="C443" s="127"/>
      <c r="D443" s="153" t="str">
        <f ca="1">IFERROR(INDEX('入力表（利用申込のない夜間閉館）'!B$386:B$416,'様式１（区への申請用）'!J443,1),"")</f>
        <v/>
      </c>
      <c r="E443" s="154"/>
      <c r="F443" s="112"/>
      <c r="H443" s="123">
        <v>23</v>
      </c>
      <c r="I443" s="123" t="e">
        <f t="shared" ca="1" si="20"/>
        <v>#N/A</v>
      </c>
      <c r="J443" s="123" t="e">
        <f t="shared" ca="1" si="21"/>
        <v>#N/A</v>
      </c>
    </row>
    <row r="444" spans="1:10">
      <c r="A444" s="112"/>
      <c r="B444" s="121"/>
      <c r="C444" s="127"/>
      <c r="D444" s="153" t="str">
        <f ca="1">IFERROR(INDEX('入力表（利用申込のない夜間閉館）'!B$386:B$416,'様式１（区への申請用）'!J444,1),"")</f>
        <v/>
      </c>
      <c r="E444" s="154"/>
      <c r="F444" s="112"/>
      <c r="H444" s="123">
        <v>24</v>
      </c>
      <c r="I444" s="123" t="e">
        <f t="shared" ca="1" si="20"/>
        <v>#N/A</v>
      </c>
      <c r="J444" s="123" t="e">
        <f t="shared" ca="1" si="21"/>
        <v>#N/A</v>
      </c>
    </row>
    <row r="445" spans="1:10">
      <c r="A445" s="112"/>
      <c r="B445" s="121"/>
      <c r="C445" s="127"/>
      <c r="D445" s="153" t="str">
        <f ca="1">IFERROR(INDEX('入力表（利用申込のない夜間閉館）'!B$386:B$416,'様式１（区への申請用）'!J445,1),"")</f>
        <v/>
      </c>
      <c r="E445" s="154"/>
      <c r="F445" s="112"/>
      <c r="H445" s="123">
        <v>25</v>
      </c>
      <c r="I445" s="123" t="e">
        <f t="shared" ca="1" si="20"/>
        <v>#N/A</v>
      </c>
      <c r="J445" s="123" t="e">
        <f t="shared" ca="1" si="21"/>
        <v>#N/A</v>
      </c>
    </row>
    <row r="446" spans="1:10">
      <c r="A446" s="112"/>
      <c r="B446" s="121"/>
      <c r="C446" s="127"/>
      <c r="D446" s="153" t="str">
        <f ca="1">IFERROR(INDEX('入力表（利用申込のない夜間閉館）'!B$386:B$416,'様式１（区への申請用）'!J446,1),"")</f>
        <v/>
      </c>
      <c r="E446" s="154"/>
      <c r="F446" s="112"/>
      <c r="H446" s="123">
        <v>26</v>
      </c>
      <c r="I446" s="123" t="e">
        <f t="shared" ca="1" si="20"/>
        <v>#N/A</v>
      </c>
      <c r="J446" s="123" t="e">
        <f t="shared" ca="1" si="21"/>
        <v>#N/A</v>
      </c>
    </row>
    <row r="447" spans="1:10">
      <c r="A447" s="112"/>
      <c r="B447" s="128"/>
      <c r="C447" s="129"/>
      <c r="D447" s="153" t="str">
        <f ca="1">IFERROR(INDEX('入力表（利用申込のない夜間閉館）'!B$386:B$416,'様式１（区への申請用）'!J447,1),"")</f>
        <v/>
      </c>
      <c r="E447" s="154"/>
      <c r="F447" s="112"/>
      <c r="H447" s="123">
        <v>27</v>
      </c>
      <c r="I447" s="123" t="e">
        <f t="shared" ca="1" si="20"/>
        <v>#N/A</v>
      </c>
      <c r="J447" s="123" t="e">
        <f t="shared" ca="1" si="21"/>
        <v>#N/A</v>
      </c>
    </row>
    <row r="448" spans="1:10">
      <c r="A448" s="113"/>
      <c r="B448" s="112"/>
      <c r="C448" s="112"/>
      <c r="D448" s="112"/>
      <c r="E448" s="112"/>
      <c r="F448" s="112"/>
      <c r="H448" s="123">
        <v>28</v>
      </c>
      <c r="I448" s="123" t="e">
        <f t="shared" ca="1" si="20"/>
        <v>#N/A</v>
      </c>
      <c r="J448" s="123" t="e">
        <f t="shared" ca="1" si="21"/>
        <v>#N/A</v>
      </c>
    </row>
    <row r="449" spans="1:15">
      <c r="A449" s="112"/>
      <c r="B449" s="130"/>
      <c r="C449" s="130"/>
      <c r="D449" s="112"/>
      <c r="E449" s="112"/>
      <c r="F449" s="130"/>
      <c r="H449" s="123">
        <v>29</v>
      </c>
      <c r="I449" s="123" t="e">
        <f t="shared" ca="1" si="20"/>
        <v>#N/A</v>
      </c>
      <c r="J449" s="123" t="e">
        <f t="shared" ca="1" si="21"/>
        <v>#N/A</v>
      </c>
    </row>
    <row r="450" spans="1:15">
      <c r="A450" s="130" t="str">
        <f>A409</f>
        <v>・原則として、１月分まとめて提出してください。</v>
      </c>
      <c r="B450" s="112"/>
      <c r="C450" s="112"/>
      <c r="D450" s="112"/>
      <c r="E450" s="112"/>
      <c r="F450" s="112"/>
      <c r="H450" s="123">
        <v>30</v>
      </c>
      <c r="I450" s="123" t="e">
        <f t="shared" ca="1" si="20"/>
        <v>#N/A</v>
      </c>
      <c r="J450" s="123" t="e">
        <f t="shared" ca="1" si="21"/>
        <v>#N/A</v>
      </c>
    </row>
    <row r="451" spans="1:15">
      <c r="A451" s="131"/>
      <c r="B451" s="112"/>
      <c r="C451" s="112"/>
      <c r="D451" s="112"/>
      <c r="E451" s="112"/>
      <c r="F451" s="112"/>
      <c r="H451" s="123">
        <v>31</v>
      </c>
      <c r="I451" s="123" t="e">
        <f t="shared" ca="1" si="20"/>
        <v>#N/A</v>
      </c>
      <c r="J451" s="123" t="e">
        <f t="shared" ca="1" si="21"/>
        <v>#N/A</v>
      </c>
    </row>
    <row r="452" spans="1:15">
      <c r="A452" s="109" t="str">
        <f>$A$1</f>
        <v>様式１（第２条第２項第２号）</v>
      </c>
      <c r="B452" s="109"/>
      <c r="C452" s="109"/>
      <c r="D452" s="109"/>
      <c r="E452" s="109"/>
      <c r="F452" s="109"/>
    </row>
    <row r="453" spans="1:15" ht="10.5" customHeight="1">
      <c r="A453" s="110"/>
    </row>
    <row r="454" spans="1:15">
      <c r="A454" s="157" t="str">
        <f>$A$3</f>
        <v>夜間閉館申請書</v>
      </c>
      <c r="B454" s="157"/>
      <c r="C454" s="157"/>
      <c r="D454" s="157"/>
      <c r="E454" s="157"/>
      <c r="F454" s="157"/>
    </row>
    <row r="455" spans="1:15">
      <c r="A455" s="111"/>
      <c r="B455" s="112"/>
      <c r="C455" s="112"/>
      <c r="D455" s="112"/>
      <c r="E455" s="112"/>
      <c r="F455" s="148">
        <v>46064</v>
      </c>
    </row>
    <row r="456" spans="1:15">
      <c r="A456" s="113" t="str">
        <f>$A$5</f>
        <v>（申請先）</v>
      </c>
      <c r="B456" s="112"/>
      <c r="C456" s="112"/>
      <c r="D456" s="112"/>
      <c r="E456" s="112"/>
      <c r="F456" s="112"/>
    </row>
    <row r="457" spans="1:15">
      <c r="A457" s="114" t="str">
        <f>A6</f>
        <v>磯子</v>
      </c>
      <c r="B457" s="112" t="s">
        <v>82</v>
      </c>
      <c r="C457" s="112"/>
      <c r="D457" s="112"/>
      <c r="E457" s="112"/>
      <c r="F457" s="112"/>
    </row>
    <row r="458" spans="1:15">
      <c r="A458" s="112"/>
      <c r="B458" s="112"/>
      <c r="C458" s="112"/>
      <c r="D458" s="112"/>
      <c r="E458" s="132" t="str">
        <f>E7</f>
        <v>洋光台</v>
      </c>
      <c r="F458" s="112" t="s">
        <v>83</v>
      </c>
    </row>
    <row r="459" spans="1:15" ht="12.75" customHeight="1">
      <c r="A459" s="113"/>
      <c r="B459" s="112"/>
      <c r="C459" s="112"/>
      <c r="D459" s="112"/>
      <c r="E459" s="112"/>
      <c r="F459" s="112"/>
      <c r="H459">
        <f>H418+$J$8</f>
        <v>424</v>
      </c>
    </row>
    <row r="460" spans="1:15" ht="57.75" customHeight="1" thickBot="1">
      <c r="A460" s="158" t="str">
        <f>A419</f>
        <v>　月曜日から土曜日の午後６時から午後９時（以下「夜間」という。）の施設利用の申込について、横浜市地域ケアプラザ施設使用及び目的外使用に関する要綱（以下「施設使用要綱」という。）第７条及び第８条に定める手続きが行われていない日のうち、次の日の夜間閉館を申請します。</v>
      </c>
      <c r="B460" s="158"/>
      <c r="C460" s="158"/>
      <c r="D460" s="158"/>
      <c r="E460" s="158"/>
      <c r="F460" s="158"/>
      <c r="H460">
        <f>H419+$J$8</f>
        <v>454</v>
      </c>
    </row>
    <row r="461" spans="1:15" s="115" customFormat="1" ht="19.5" thickBot="1">
      <c r="A461" s="116"/>
      <c r="B461" s="159" t="str">
        <f>B420</f>
        <v>年月</v>
      </c>
      <c r="C461" s="160"/>
      <c r="D461" s="117" t="str">
        <f>D420</f>
        <v>日</v>
      </c>
      <c r="E461" s="118" t="str">
        <f>E420</f>
        <v>（曜日）</v>
      </c>
      <c r="F461" s="116"/>
      <c r="H461" s="119" t="s">
        <v>65</v>
      </c>
      <c r="I461" s="120" t="s">
        <v>63</v>
      </c>
      <c r="J461" s="120" t="s">
        <v>64</v>
      </c>
    </row>
    <row r="462" spans="1:15">
      <c r="A462" s="112"/>
      <c r="B462" s="121" t="str">
        <f>$B$380</f>
        <v>令和８年</v>
      </c>
      <c r="C462" s="122" t="s">
        <v>84</v>
      </c>
      <c r="D462" s="155">
        <f>IFERROR(INDEX('入力表（利用申込のない夜間閉館）'!B$424:B$454,'様式１（区への申請用）'!J462,1),"")</f>
        <v>46083</v>
      </c>
      <c r="E462" s="156"/>
      <c r="F462" s="112"/>
      <c r="H462" s="123">
        <v>1</v>
      </c>
      <c r="I462" s="124">
        <f>MATCH("利用申込のない夜間閉館",'入力表（利用申込のない夜間閉館）'!E424:E454,0)</f>
        <v>2</v>
      </c>
      <c r="J462" s="124">
        <f>I462</f>
        <v>2</v>
      </c>
      <c r="L462" s="115"/>
      <c r="M462" s="115"/>
      <c r="O462" s="125"/>
    </row>
    <row r="463" spans="1:15">
      <c r="A463" s="112"/>
      <c r="B463" s="126">
        <f>$B$381</f>
        <v>2026</v>
      </c>
      <c r="C463" s="122"/>
      <c r="D463" s="153">
        <f ca="1">IFERROR(INDEX('入力表（利用申込のない夜間閉館）'!B$424:B$454,'様式１（区への申請用）'!J463,1),"")</f>
        <v>46084</v>
      </c>
      <c r="E463" s="154"/>
      <c r="F463" s="112"/>
      <c r="H463" s="123">
        <v>2</v>
      </c>
      <c r="I463" s="123">
        <f ca="1">MATCH("利用申込のない夜間閉館",INDIRECT("'入力表（利用申込のない夜間閉館）'!E"&amp;424+J462&amp;":e454"),0)</f>
        <v>1</v>
      </c>
      <c r="J463" s="123">
        <f ca="1">SUM(I462+I463)</f>
        <v>3</v>
      </c>
      <c r="O463" s="125"/>
    </row>
    <row r="464" spans="1:15">
      <c r="A464" s="112"/>
      <c r="B464" s="121"/>
      <c r="C464" s="122"/>
      <c r="D464" s="153">
        <f ca="1">IFERROR(INDEX('入力表（利用申込のない夜間閉館）'!B$424:B$454,'様式１（区への申請用）'!J464,1),"")</f>
        <v>46086</v>
      </c>
      <c r="E464" s="154"/>
      <c r="F464" s="112"/>
      <c r="H464" s="123">
        <v>3</v>
      </c>
      <c r="I464" s="123">
        <f t="shared" ref="I464:I492" ca="1" si="22">MATCH("利用申込のない夜間閉館",INDIRECT("'入力表（利用申込のない夜間閉館）'!E"&amp;424+J463&amp;":e454"),0)</f>
        <v>2</v>
      </c>
      <c r="J464" s="123">
        <f ca="1">SUM(J463+I464)</f>
        <v>5</v>
      </c>
      <c r="O464" s="125"/>
    </row>
    <row r="465" spans="1:15">
      <c r="A465" s="112"/>
      <c r="B465" s="121"/>
      <c r="C465" s="127"/>
      <c r="D465" s="153">
        <f ca="1">IFERROR(INDEX('入力表（利用申込のない夜間閉館）'!B$424:B$454,'様式１（区への申請用）'!J465,1),"")</f>
        <v>46088</v>
      </c>
      <c r="E465" s="154"/>
      <c r="F465" s="112"/>
      <c r="H465" s="123">
        <v>4</v>
      </c>
      <c r="I465" s="123">
        <f t="shared" ca="1" si="22"/>
        <v>2</v>
      </c>
      <c r="J465" s="123">
        <f t="shared" ref="J465:J492" ca="1" si="23">SUM(J464+I465)</f>
        <v>7</v>
      </c>
      <c r="O465" s="125"/>
    </row>
    <row r="466" spans="1:15">
      <c r="A466" s="112"/>
      <c r="B466" s="121"/>
      <c r="C466" s="127"/>
      <c r="D466" s="153">
        <f ca="1">IFERROR(INDEX('入力表（利用申込のない夜間閉館）'!B$424:B$454,'様式１（区への申請用）'!J466,1),"")</f>
        <v>46090</v>
      </c>
      <c r="E466" s="154"/>
      <c r="F466" s="112"/>
      <c r="H466" s="123">
        <v>5</v>
      </c>
      <c r="I466" s="123">
        <f t="shared" ca="1" si="22"/>
        <v>2</v>
      </c>
      <c r="J466" s="123">
        <f t="shared" ca="1" si="23"/>
        <v>9</v>
      </c>
      <c r="O466" s="125"/>
    </row>
    <row r="467" spans="1:15">
      <c r="A467" s="112"/>
      <c r="B467" s="121"/>
      <c r="C467" s="127"/>
      <c r="D467" s="153">
        <f ca="1">IFERROR(INDEX('入力表（利用申込のない夜間閉館）'!B$424:B$454,'様式１（区への申請用）'!J467,1),"")</f>
        <v>46091</v>
      </c>
      <c r="E467" s="154"/>
      <c r="F467" s="112"/>
      <c r="H467" s="123">
        <v>6</v>
      </c>
      <c r="I467" s="123">
        <f t="shared" ca="1" si="22"/>
        <v>1</v>
      </c>
      <c r="J467" s="123">
        <f t="shared" ca="1" si="23"/>
        <v>10</v>
      </c>
      <c r="O467" s="125"/>
    </row>
    <row r="468" spans="1:15">
      <c r="A468" s="112"/>
      <c r="B468" s="121"/>
      <c r="C468" s="127"/>
      <c r="D468" s="153">
        <f ca="1">IFERROR(INDEX('入力表（利用申込のない夜間閉館）'!B$424:B$454,'様式１（区への申請用）'!J468,1),"")</f>
        <v>46095</v>
      </c>
      <c r="E468" s="154"/>
      <c r="F468" s="112"/>
      <c r="H468" s="123">
        <v>7</v>
      </c>
      <c r="I468" s="123">
        <f t="shared" ca="1" si="22"/>
        <v>4</v>
      </c>
      <c r="J468" s="123">
        <f t="shared" ca="1" si="23"/>
        <v>14</v>
      </c>
      <c r="O468" s="125"/>
    </row>
    <row r="469" spans="1:15">
      <c r="A469" s="112"/>
      <c r="B469" s="121"/>
      <c r="C469" s="127"/>
      <c r="D469" s="153">
        <f ca="1">IFERROR(INDEX('入力表（利用申込のない夜間閉館）'!B$424:B$454,'様式１（区への申請用）'!J469,1),"")</f>
        <v>46098</v>
      </c>
      <c r="E469" s="154"/>
      <c r="F469" s="112"/>
      <c r="H469" s="123">
        <v>8</v>
      </c>
      <c r="I469" s="123">
        <f t="shared" ca="1" si="22"/>
        <v>3</v>
      </c>
      <c r="J469" s="123">
        <f t="shared" ca="1" si="23"/>
        <v>17</v>
      </c>
    </row>
    <row r="470" spans="1:15">
      <c r="A470" s="112"/>
      <c r="B470" s="121"/>
      <c r="C470" s="127"/>
      <c r="D470" s="153">
        <f ca="1">IFERROR(INDEX('入力表（利用申込のない夜間閉館）'!B$424:B$454,'様式１（区への申請用）'!J470,1),"")</f>
        <v>46104</v>
      </c>
      <c r="E470" s="154"/>
      <c r="F470" s="112"/>
      <c r="H470" s="123">
        <v>9</v>
      </c>
      <c r="I470" s="123">
        <f t="shared" ca="1" si="22"/>
        <v>6</v>
      </c>
      <c r="J470" s="123">
        <f t="shared" ca="1" si="23"/>
        <v>23</v>
      </c>
    </row>
    <row r="471" spans="1:15">
      <c r="A471" s="112"/>
      <c r="B471" s="121"/>
      <c r="C471" s="127"/>
      <c r="D471" s="153">
        <f ca="1">IFERROR(INDEX('入力表（利用申込のない夜間閉館）'!B$424:B$454,'様式１（区への申請用）'!J471,1),"")</f>
        <v>46105</v>
      </c>
      <c r="E471" s="154"/>
      <c r="F471" s="112"/>
      <c r="H471" s="123">
        <v>10</v>
      </c>
      <c r="I471" s="123">
        <f t="shared" ca="1" si="22"/>
        <v>1</v>
      </c>
      <c r="J471" s="123">
        <f t="shared" ca="1" si="23"/>
        <v>24</v>
      </c>
    </row>
    <row r="472" spans="1:15">
      <c r="A472" s="112"/>
      <c r="B472" s="121"/>
      <c r="C472" s="127"/>
      <c r="D472" s="153">
        <f ca="1">IFERROR(INDEX('入力表（利用申込のない夜間閉館）'!B$424:B$454,'様式１（区への申請用）'!J472,1),"")</f>
        <v>46107</v>
      </c>
      <c r="E472" s="154"/>
      <c r="F472" s="112"/>
      <c r="H472" s="123">
        <v>11</v>
      </c>
      <c r="I472" s="123">
        <f t="shared" ca="1" si="22"/>
        <v>2</v>
      </c>
      <c r="J472" s="123">
        <f t="shared" ca="1" si="23"/>
        <v>26</v>
      </c>
    </row>
    <row r="473" spans="1:15">
      <c r="A473" s="112"/>
      <c r="B473" s="121"/>
      <c r="C473" s="127"/>
      <c r="D473" s="153">
        <f ca="1">IFERROR(INDEX('入力表（利用申込のない夜間閉館）'!B$424:B$454,'様式１（区への申請用）'!J473,1),"")</f>
        <v>46108</v>
      </c>
      <c r="E473" s="154"/>
      <c r="F473" s="112"/>
      <c r="H473" s="123">
        <v>12</v>
      </c>
      <c r="I473" s="123">
        <f t="shared" ca="1" si="22"/>
        <v>1</v>
      </c>
      <c r="J473" s="123">
        <f t="shared" ca="1" si="23"/>
        <v>27</v>
      </c>
    </row>
    <row r="474" spans="1:15">
      <c r="A474" s="112"/>
      <c r="B474" s="121"/>
      <c r="C474" s="127"/>
      <c r="D474" s="153">
        <f ca="1">IFERROR(INDEX('入力表（利用申込のない夜間閉館）'!B$424:B$454,'様式１（区への申請用）'!J474,1),"")</f>
        <v>46109</v>
      </c>
      <c r="E474" s="154"/>
      <c r="F474" s="112"/>
      <c r="H474" s="123">
        <v>13</v>
      </c>
      <c r="I474" s="123">
        <f t="shared" ca="1" si="22"/>
        <v>1</v>
      </c>
      <c r="J474" s="123">
        <f t="shared" ca="1" si="23"/>
        <v>28</v>
      </c>
    </row>
    <row r="475" spans="1:15">
      <c r="A475" s="112"/>
      <c r="B475" s="121"/>
      <c r="C475" s="127"/>
      <c r="D475" s="153">
        <f ca="1">IFERROR(INDEX('入力表（利用申込のない夜間閉館）'!B$424:B$454,'様式１（区への申請用）'!J475,1),"")</f>
        <v>46111</v>
      </c>
      <c r="E475" s="154"/>
      <c r="F475" s="112"/>
      <c r="H475" s="123">
        <v>14</v>
      </c>
      <c r="I475" s="123">
        <f t="shared" ca="1" si="22"/>
        <v>2</v>
      </c>
      <c r="J475" s="123">
        <f t="shared" ca="1" si="23"/>
        <v>30</v>
      </c>
    </row>
    <row r="476" spans="1:15">
      <c r="A476" s="112"/>
      <c r="B476" s="121"/>
      <c r="C476" s="127"/>
      <c r="D476" s="153">
        <f ca="1">IFERROR(INDEX('入力表（利用申込のない夜間閉館）'!B$424:B$454,'様式１（区への申請用）'!J476,1),"")</f>
        <v>46112</v>
      </c>
      <c r="E476" s="154"/>
      <c r="F476" s="112"/>
      <c r="H476" s="123">
        <v>15</v>
      </c>
      <c r="I476" s="123">
        <f t="shared" ca="1" si="22"/>
        <v>1</v>
      </c>
      <c r="J476" s="123">
        <f t="shared" ca="1" si="23"/>
        <v>31</v>
      </c>
    </row>
    <row r="477" spans="1:15">
      <c r="A477" s="112"/>
      <c r="B477" s="121"/>
      <c r="C477" s="127"/>
      <c r="D477" s="153" t="str">
        <f ca="1">IFERROR(INDEX('入力表（利用申込のない夜間閉館）'!B$424:B$454,'様式１（区への申請用）'!J477,1),"")</f>
        <v/>
      </c>
      <c r="E477" s="154"/>
      <c r="F477" s="112"/>
      <c r="H477" s="123">
        <v>16</v>
      </c>
      <c r="I477" s="123">
        <f t="shared" ca="1" si="22"/>
        <v>1</v>
      </c>
      <c r="J477" s="123">
        <f t="shared" ca="1" si="23"/>
        <v>32</v>
      </c>
    </row>
    <row r="478" spans="1:15">
      <c r="A478" s="112"/>
      <c r="B478" s="121"/>
      <c r="C478" s="127"/>
      <c r="D478" s="153" t="str">
        <f ca="1">IFERROR(INDEX('入力表（利用申込のない夜間閉館）'!B$424:B$454,'様式１（区への申請用）'!J478,1),"")</f>
        <v/>
      </c>
      <c r="E478" s="154"/>
      <c r="F478" s="112"/>
      <c r="H478" s="123">
        <v>17</v>
      </c>
      <c r="I478" s="123">
        <f t="shared" ca="1" si="22"/>
        <v>1</v>
      </c>
      <c r="J478" s="123">
        <f t="shared" ca="1" si="23"/>
        <v>33</v>
      </c>
    </row>
    <row r="479" spans="1:15">
      <c r="A479" s="112"/>
      <c r="B479" s="121"/>
      <c r="C479" s="127"/>
      <c r="D479" s="153" t="str">
        <f ca="1">IFERROR(INDEX('入力表（利用申込のない夜間閉館）'!B$424:B$454,'様式１（区への申請用）'!J479,1),"")</f>
        <v/>
      </c>
      <c r="E479" s="154"/>
      <c r="F479" s="112"/>
      <c r="H479" s="123">
        <v>18</v>
      </c>
      <c r="I479" s="123">
        <f t="shared" ca="1" si="22"/>
        <v>1</v>
      </c>
      <c r="J479" s="123">
        <f t="shared" ca="1" si="23"/>
        <v>34</v>
      </c>
    </row>
    <row r="480" spans="1:15">
      <c r="A480" s="112"/>
      <c r="B480" s="121"/>
      <c r="C480" s="127"/>
      <c r="D480" s="153" t="str">
        <f ca="1">IFERROR(INDEX('入力表（利用申込のない夜間閉館）'!B$424:B$454,'様式１（区への申請用）'!J480,1),"")</f>
        <v/>
      </c>
      <c r="E480" s="154"/>
      <c r="F480" s="112"/>
      <c r="H480" s="123">
        <v>19</v>
      </c>
      <c r="I480" s="123">
        <f t="shared" ca="1" si="22"/>
        <v>1</v>
      </c>
      <c r="J480" s="123">
        <f t="shared" ca="1" si="23"/>
        <v>35</v>
      </c>
    </row>
    <row r="481" spans="1:10">
      <c r="A481" s="112"/>
      <c r="B481" s="121"/>
      <c r="C481" s="127"/>
      <c r="D481" s="153" t="str">
        <f ca="1">IFERROR(INDEX('入力表（利用申込のない夜間閉館）'!B$424:B$454,'様式１（区への申請用）'!J481,1),"")</f>
        <v/>
      </c>
      <c r="E481" s="154"/>
      <c r="F481" s="112"/>
      <c r="H481" s="123">
        <v>20</v>
      </c>
      <c r="I481" s="123">
        <f t="shared" ca="1" si="22"/>
        <v>1</v>
      </c>
      <c r="J481" s="123">
        <f t="shared" ca="1" si="23"/>
        <v>36</v>
      </c>
    </row>
    <row r="482" spans="1:10">
      <c r="A482" s="112"/>
      <c r="B482" s="121"/>
      <c r="C482" s="127"/>
      <c r="D482" s="153" t="str">
        <f ca="1">IFERROR(INDEX('入力表（利用申込のない夜間閉館）'!B$424:B$454,'様式１（区への申請用）'!J482,1),"")</f>
        <v/>
      </c>
      <c r="E482" s="154"/>
      <c r="F482" s="112"/>
      <c r="H482" s="123">
        <v>21</v>
      </c>
      <c r="I482" s="123">
        <f t="shared" ca="1" si="22"/>
        <v>1</v>
      </c>
      <c r="J482" s="123">
        <f t="shared" ca="1" si="23"/>
        <v>37</v>
      </c>
    </row>
    <row r="483" spans="1:10">
      <c r="A483" s="112"/>
      <c r="B483" s="121"/>
      <c r="C483" s="127"/>
      <c r="D483" s="153" t="str">
        <f ca="1">IFERROR(INDEX('入力表（利用申込のない夜間閉館）'!B$424:B$454,'様式１（区への申請用）'!J483,1),"")</f>
        <v/>
      </c>
      <c r="E483" s="154"/>
      <c r="F483" s="112"/>
      <c r="H483" s="123">
        <v>22</v>
      </c>
      <c r="I483" s="123">
        <f t="shared" ca="1" si="22"/>
        <v>1</v>
      </c>
      <c r="J483" s="123">
        <f t="shared" ca="1" si="23"/>
        <v>38</v>
      </c>
    </row>
    <row r="484" spans="1:10">
      <c r="A484" s="112"/>
      <c r="B484" s="121"/>
      <c r="C484" s="127"/>
      <c r="D484" s="153" t="str">
        <f ca="1">IFERROR(INDEX('入力表（利用申込のない夜間閉館）'!B$424:B$454,'様式１（区への申請用）'!J484,1),"")</f>
        <v/>
      </c>
      <c r="E484" s="154"/>
      <c r="F484" s="112"/>
      <c r="H484" s="123">
        <v>23</v>
      </c>
      <c r="I484" s="123">
        <f t="shared" ca="1" si="22"/>
        <v>1</v>
      </c>
      <c r="J484" s="123">
        <f t="shared" ca="1" si="23"/>
        <v>39</v>
      </c>
    </row>
    <row r="485" spans="1:10">
      <c r="A485" s="112"/>
      <c r="B485" s="121"/>
      <c r="C485" s="127"/>
      <c r="D485" s="153" t="str">
        <f ca="1">IFERROR(INDEX('入力表（利用申込のない夜間閉館）'!B$424:B$454,'様式１（区への申請用）'!J485,1),"")</f>
        <v/>
      </c>
      <c r="E485" s="154"/>
      <c r="F485" s="112"/>
      <c r="H485" s="123">
        <v>24</v>
      </c>
      <c r="I485" s="123">
        <f t="shared" ca="1" si="22"/>
        <v>1</v>
      </c>
      <c r="J485" s="123">
        <f t="shared" ca="1" si="23"/>
        <v>40</v>
      </c>
    </row>
    <row r="486" spans="1:10">
      <c r="A486" s="112"/>
      <c r="B486" s="121"/>
      <c r="C486" s="127"/>
      <c r="D486" s="153" t="str">
        <f ca="1">IFERROR(INDEX('入力表（利用申込のない夜間閉館）'!B$424:B$454,'様式１（区への申請用）'!J486,1),"")</f>
        <v/>
      </c>
      <c r="E486" s="154"/>
      <c r="F486" s="112"/>
      <c r="H486" s="123">
        <v>25</v>
      </c>
      <c r="I486" s="123">
        <f t="shared" ca="1" si="22"/>
        <v>1</v>
      </c>
      <c r="J486" s="123">
        <f t="shared" ca="1" si="23"/>
        <v>41</v>
      </c>
    </row>
    <row r="487" spans="1:10">
      <c r="A487" s="112"/>
      <c r="B487" s="121"/>
      <c r="C487" s="127"/>
      <c r="D487" s="153" t="str">
        <f ca="1">IFERROR(INDEX('入力表（利用申込のない夜間閉館）'!B$424:B$454,'様式１（区への申請用）'!J487,1),"")</f>
        <v/>
      </c>
      <c r="E487" s="154"/>
      <c r="F487" s="112"/>
      <c r="H487" s="123">
        <v>26</v>
      </c>
      <c r="I487" s="123">
        <f t="shared" ca="1" si="22"/>
        <v>1</v>
      </c>
      <c r="J487" s="123">
        <f t="shared" ca="1" si="23"/>
        <v>42</v>
      </c>
    </row>
    <row r="488" spans="1:10">
      <c r="A488" s="112"/>
      <c r="B488" s="128"/>
      <c r="C488" s="129"/>
      <c r="D488" s="153" t="str">
        <f ca="1">IFERROR(INDEX('入力表（利用申込のない夜間閉館）'!B$424:B$454,'様式１（区への申請用）'!J488,1),"")</f>
        <v/>
      </c>
      <c r="E488" s="154"/>
      <c r="F488" s="112"/>
      <c r="H488" s="123">
        <v>27</v>
      </c>
      <c r="I488" s="123">
        <f t="shared" ca="1" si="22"/>
        <v>1</v>
      </c>
      <c r="J488" s="123">
        <f t="shared" ca="1" si="23"/>
        <v>43</v>
      </c>
    </row>
    <row r="489" spans="1:10">
      <c r="A489" s="113"/>
      <c r="B489" s="112"/>
      <c r="C489" s="112"/>
      <c r="D489" s="112"/>
      <c r="E489" s="112"/>
      <c r="F489" s="112"/>
      <c r="H489" s="123">
        <v>28</v>
      </c>
      <c r="I489" s="123">
        <f t="shared" ca="1" si="22"/>
        <v>1</v>
      </c>
      <c r="J489" s="123">
        <f t="shared" ca="1" si="23"/>
        <v>44</v>
      </c>
    </row>
    <row r="490" spans="1:10">
      <c r="A490" s="112"/>
      <c r="B490" s="130"/>
      <c r="C490" s="130"/>
      <c r="D490" s="112"/>
      <c r="E490" s="112"/>
      <c r="F490" s="130"/>
      <c r="H490" s="123">
        <v>29</v>
      </c>
      <c r="I490" s="123">
        <f t="shared" ca="1" si="22"/>
        <v>1</v>
      </c>
      <c r="J490" s="123">
        <f t="shared" ca="1" si="23"/>
        <v>45</v>
      </c>
    </row>
    <row r="491" spans="1:10">
      <c r="A491" s="130" t="str">
        <f>A450</f>
        <v>・原則として、１月分まとめて提出してください。</v>
      </c>
      <c r="B491" s="112"/>
      <c r="C491" s="112"/>
      <c r="D491" s="112"/>
      <c r="E491" s="112"/>
      <c r="F491" s="112"/>
      <c r="H491" s="123">
        <v>30</v>
      </c>
      <c r="I491" s="123">
        <f t="shared" ca="1" si="22"/>
        <v>1</v>
      </c>
      <c r="J491" s="123">
        <f t="shared" ca="1" si="23"/>
        <v>46</v>
      </c>
    </row>
    <row r="492" spans="1:10">
      <c r="A492" s="131"/>
      <c r="B492" s="112"/>
      <c r="C492" s="112"/>
      <c r="D492" s="112"/>
      <c r="E492" s="112"/>
      <c r="F492" s="112"/>
      <c r="H492" s="123">
        <v>31</v>
      </c>
      <c r="I492" s="123">
        <f t="shared" ca="1" si="22"/>
        <v>1</v>
      </c>
      <c r="J492" s="123">
        <f t="shared" ca="1" si="23"/>
        <v>47</v>
      </c>
    </row>
  </sheetData>
  <sheetProtection algorithmName="SHA-512" hashValue="9jY+t433YAl3KAiLwZTpGnZIu4StbUNykBconVCWqWOoveEGJHNBLHrCF+V7Z3WQleIkWqfSmbuy+0c9WBPvvg==" saltValue="Jj/4WKNVqOMaUhC/04IrJQ==" spinCount="100000" sheet="1" formatCells="0" formatColumns="0" formatRows="0"/>
  <mergeCells count="360">
    <mergeCell ref="D12:E12"/>
    <mergeCell ref="D13:E13"/>
    <mergeCell ref="D14:E14"/>
    <mergeCell ref="D15:E15"/>
    <mergeCell ref="D16:E16"/>
    <mergeCell ref="A3:F3"/>
    <mergeCell ref="A9:F9"/>
    <mergeCell ref="B10:C10"/>
    <mergeCell ref="D11:E11"/>
    <mergeCell ref="D22:E22"/>
    <mergeCell ref="D23:E23"/>
    <mergeCell ref="D24:E24"/>
    <mergeCell ref="D25:E25"/>
    <mergeCell ref="D26:E26"/>
    <mergeCell ref="D17:E17"/>
    <mergeCell ref="D18:E18"/>
    <mergeCell ref="D19:E19"/>
    <mergeCell ref="D20:E20"/>
    <mergeCell ref="D21:E21"/>
    <mergeCell ref="D32:E32"/>
    <mergeCell ref="D33:E33"/>
    <mergeCell ref="D34:E34"/>
    <mergeCell ref="D35:E35"/>
    <mergeCell ref="D36:E36"/>
    <mergeCell ref="D27:E27"/>
    <mergeCell ref="D28:E28"/>
    <mergeCell ref="D29:E29"/>
    <mergeCell ref="D30:E30"/>
    <mergeCell ref="D31:E31"/>
    <mergeCell ref="D52:E52"/>
    <mergeCell ref="D53:E53"/>
    <mergeCell ref="D54:E54"/>
    <mergeCell ref="D55:E55"/>
    <mergeCell ref="D56:E56"/>
    <mergeCell ref="D37:E37"/>
    <mergeCell ref="A44:F44"/>
    <mergeCell ref="A50:F50"/>
    <mergeCell ref="B51:C51"/>
    <mergeCell ref="D62:E62"/>
    <mergeCell ref="D63:E63"/>
    <mergeCell ref="D64:E64"/>
    <mergeCell ref="D65:E65"/>
    <mergeCell ref="D66:E66"/>
    <mergeCell ref="D57:E57"/>
    <mergeCell ref="D58:E58"/>
    <mergeCell ref="D59:E59"/>
    <mergeCell ref="D60:E60"/>
    <mergeCell ref="D61:E61"/>
    <mergeCell ref="D72:E72"/>
    <mergeCell ref="D73:E73"/>
    <mergeCell ref="D74:E74"/>
    <mergeCell ref="D75:E75"/>
    <mergeCell ref="D76:E76"/>
    <mergeCell ref="D67:E67"/>
    <mergeCell ref="D68:E68"/>
    <mergeCell ref="D69:E69"/>
    <mergeCell ref="D70:E70"/>
    <mergeCell ref="D71:E71"/>
    <mergeCell ref="B92:C92"/>
    <mergeCell ref="D93:E93"/>
    <mergeCell ref="D94:E94"/>
    <mergeCell ref="D95:E95"/>
    <mergeCell ref="D96:E96"/>
    <mergeCell ref="D77:E77"/>
    <mergeCell ref="D78:E78"/>
    <mergeCell ref="A85:F85"/>
    <mergeCell ref="A91:F91"/>
    <mergeCell ref="D102:E102"/>
    <mergeCell ref="D103:E103"/>
    <mergeCell ref="D104:E104"/>
    <mergeCell ref="D105:E105"/>
    <mergeCell ref="D106:E106"/>
    <mergeCell ref="D97:E97"/>
    <mergeCell ref="D98:E98"/>
    <mergeCell ref="D99:E99"/>
    <mergeCell ref="D100:E100"/>
    <mergeCell ref="D101:E101"/>
    <mergeCell ref="D112:E112"/>
    <mergeCell ref="D113:E113"/>
    <mergeCell ref="D114:E114"/>
    <mergeCell ref="D115:E115"/>
    <mergeCell ref="D116:E116"/>
    <mergeCell ref="D107:E107"/>
    <mergeCell ref="D108:E108"/>
    <mergeCell ref="D109:E109"/>
    <mergeCell ref="D110:E110"/>
    <mergeCell ref="D111:E111"/>
    <mergeCell ref="A132:F132"/>
    <mergeCell ref="B133:C133"/>
    <mergeCell ref="D134:E134"/>
    <mergeCell ref="D135:E135"/>
    <mergeCell ref="D136:E136"/>
    <mergeCell ref="D117:E117"/>
    <mergeCell ref="D118:E118"/>
    <mergeCell ref="D119:E119"/>
    <mergeCell ref="A126:F126"/>
    <mergeCell ref="D142:E142"/>
    <mergeCell ref="D143:E143"/>
    <mergeCell ref="D144:E144"/>
    <mergeCell ref="D145:E145"/>
    <mergeCell ref="D146:E146"/>
    <mergeCell ref="D137:E137"/>
    <mergeCell ref="D138:E138"/>
    <mergeCell ref="D139:E139"/>
    <mergeCell ref="D140:E140"/>
    <mergeCell ref="D141:E141"/>
    <mergeCell ref="D152:E152"/>
    <mergeCell ref="D153:E153"/>
    <mergeCell ref="D154:E154"/>
    <mergeCell ref="D155:E155"/>
    <mergeCell ref="D156:E156"/>
    <mergeCell ref="D147:E147"/>
    <mergeCell ref="D148:E148"/>
    <mergeCell ref="D149:E149"/>
    <mergeCell ref="D150:E150"/>
    <mergeCell ref="D151:E151"/>
    <mergeCell ref="A173:F173"/>
    <mergeCell ref="B174:C174"/>
    <mergeCell ref="D175:E175"/>
    <mergeCell ref="D176:E176"/>
    <mergeCell ref="D157:E157"/>
    <mergeCell ref="D158:E158"/>
    <mergeCell ref="D159:E159"/>
    <mergeCell ref="D160:E160"/>
    <mergeCell ref="A167:F167"/>
    <mergeCell ref="D182:E182"/>
    <mergeCell ref="D183:E183"/>
    <mergeCell ref="D184:E184"/>
    <mergeCell ref="D185:E185"/>
    <mergeCell ref="D186:E186"/>
    <mergeCell ref="D177:E177"/>
    <mergeCell ref="D178:E178"/>
    <mergeCell ref="D179:E179"/>
    <mergeCell ref="D180:E180"/>
    <mergeCell ref="D181:E181"/>
    <mergeCell ref="D192:E192"/>
    <mergeCell ref="D193:E193"/>
    <mergeCell ref="D194:E194"/>
    <mergeCell ref="D195:E195"/>
    <mergeCell ref="D196:E196"/>
    <mergeCell ref="D187:E187"/>
    <mergeCell ref="D188:E188"/>
    <mergeCell ref="D189:E189"/>
    <mergeCell ref="D190:E190"/>
    <mergeCell ref="D191:E191"/>
    <mergeCell ref="A208:F208"/>
    <mergeCell ref="A214:F214"/>
    <mergeCell ref="B215:C215"/>
    <mergeCell ref="D216:E216"/>
    <mergeCell ref="D197:E197"/>
    <mergeCell ref="D198:E198"/>
    <mergeCell ref="D199:E199"/>
    <mergeCell ref="D200:E200"/>
    <mergeCell ref="D201:E201"/>
    <mergeCell ref="D222:E222"/>
    <mergeCell ref="D223:E223"/>
    <mergeCell ref="D224:E224"/>
    <mergeCell ref="D225:E225"/>
    <mergeCell ref="D226:E226"/>
    <mergeCell ref="D217:E217"/>
    <mergeCell ref="D218:E218"/>
    <mergeCell ref="D219:E219"/>
    <mergeCell ref="D220:E220"/>
    <mergeCell ref="D221:E221"/>
    <mergeCell ref="D232:E232"/>
    <mergeCell ref="D233:E233"/>
    <mergeCell ref="D234:E234"/>
    <mergeCell ref="D235:E235"/>
    <mergeCell ref="D236:E236"/>
    <mergeCell ref="D227:E227"/>
    <mergeCell ref="D228:E228"/>
    <mergeCell ref="D229:E229"/>
    <mergeCell ref="D230:E230"/>
    <mergeCell ref="D231:E231"/>
    <mergeCell ref="D242:E242"/>
    <mergeCell ref="A249:F249"/>
    <mergeCell ref="A255:F255"/>
    <mergeCell ref="B256:C256"/>
    <mergeCell ref="D237:E237"/>
    <mergeCell ref="D238:E238"/>
    <mergeCell ref="D239:E239"/>
    <mergeCell ref="D240:E240"/>
    <mergeCell ref="D241:E241"/>
    <mergeCell ref="D262:E262"/>
    <mergeCell ref="D263:E263"/>
    <mergeCell ref="D264:E264"/>
    <mergeCell ref="D265:E265"/>
    <mergeCell ref="D266:E266"/>
    <mergeCell ref="D257:E257"/>
    <mergeCell ref="D258:E258"/>
    <mergeCell ref="D259:E259"/>
    <mergeCell ref="D260:E260"/>
    <mergeCell ref="D261:E261"/>
    <mergeCell ref="D272:E272"/>
    <mergeCell ref="D273:E273"/>
    <mergeCell ref="D274:E274"/>
    <mergeCell ref="D275:E275"/>
    <mergeCell ref="D276:E276"/>
    <mergeCell ref="D267:E267"/>
    <mergeCell ref="D268:E268"/>
    <mergeCell ref="D269:E269"/>
    <mergeCell ref="D270:E270"/>
    <mergeCell ref="D271:E271"/>
    <mergeCell ref="D282:E282"/>
    <mergeCell ref="D283:E283"/>
    <mergeCell ref="A290:F290"/>
    <mergeCell ref="A296:F296"/>
    <mergeCell ref="D277:E277"/>
    <mergeCell ref="D278:E278"/>
    <mergeCell ref="D279:E279"/>
    <mergeCell ref="D280:E280"/>
    <mergeCell ref="D281:E281"/>
    <mergeCell ref="D302:E302"/>
    <mergeCell ref="D303:E303"/>
    <mergeCell ref="D304:E304"/>
    <mergeCell ref="D305:E305"/>
    <mergeCell ref="D306:E306"/>
    <mergeCell ref="B297:C297"/>
    <mergeCell ref="D298:E298"/>
    <mergeCell ref="D299:E299"/>
    <mergeCell ref="D300:E300"/>
    <mergeCell ref="D301:E301"/>
    <mergeCell ref="D312:E312"/>
    <mergeCell ref="D313:E313"/>
    <mergeCell ref="D314:E314"/>
    <mergeCell ref="D315:E315"/>
    <mergeCell ref="D316:E316"/>
    <mergeCell ref="D307:E307"/>
    <mergeCell ref="D308:E308"/>
    <mergeCell ref="D309:E309"/>
    <mergeCell ref="D310:E310"/>
    <mergeCell ref="D311:E311"/>
    <mergeCell ref="D322:E322"/>
    <mergeCell ref="D323:E323"/>
    <mergeCell ref="D324:E324"/>
    <mergeCell ref="A331:F331"/>
    <mergeCell ref="D317:E317"/>
    <mergeCell ref="D318:E318"/>
    <mergeCell ref="D319:E319"/>
    <mergeCell ref="D320:E320"/>
    <mergeCell ref="D321:E321"/>
    <mergeCell ref="D342:E342"/>
    <mergeCell ref="D343:E343"/>
    <mergeCell ref="D344:E344"/>
    <mergeCell ref="D345:E345"/>
    <mergeCell ref="D346:E346"/>
    <mergeCell ref="A337:F337"/>
    <mergeCell ref="B338:C338"/>
    <mergeCell ref="D339:E339"/>
    <mergeCell ref="D340:E340"/>
    <mergeCell ref="D341:E341"/>
    <mergeCell ref="D352:E352"/>
    <mergeCell ref="D353:E353"/>
    <mergeCell ref="D354:E354"/>
    <mergeCell ref="D355:E355"/>
    <mergeCell ref="D356:E356"/>
    <mergeCell ref="D347:E347"/>
    <mergeCell ref="D348:E348"/>
    <mergeCell ref="D349:E349"/>
    <mergeCell ref="D350:E350"/>
    <mergeCell ref="D351:E351"/>
    <mergeCell ref="D362:E362"/>
    <mergeCell ref="D363:E363"/>
    <mergeCell ref="D364:E364"/>
    <mergeCell ref="D365:E365"/>
    <mergeCell ref="A372:F372"/>
    <mergeCell ref="D357:E357"/>
    <mergeCell ref="D358:E358"/>
    <mergeCell ref="D359:E359"/>
    <mergeCell ref="D360:E360"/>
    <mergeCell ref="D361:E361"/>
    <mergeCell ref="D382:E382"/>
    <mergeCell ref="D383:E383"/>
    <mergeCell ref="D384:E384"/>
    <mergeCell ref="D385:E385"/>
    <mergeCell ref="D386:E386"/>
    <mergeCell ref="A378:F378"/>
    <mergeCell ref="B379:C379"/>
    <mergeCell ref="D380:E380"/>
    <mergeCell ref="D381:E381"/>
    <mergeCell ref="D392:E392"/>
    <mergeCell ref="D393:E393"/>
    <mergeCell ref="D394:E394"/>
    <mergeCell ref="D395:E395"/>
    <mergeCell ref="D396:E396"/>
    <mergeCell ref="D387:E387"/>
    <mergeCell ref="D388:E388"/>
    <mergeCell ref="D389:E389"/>
    <mergeCell ref="D390:E390"/>
    <mergeCell ref="D391:E391"/>
    <mergeCell ref="D402:E402"/>
    <mergeCell ref="D403:E403"/>
    <mergeCell ref="D404:E404"/>
    <mergeCell ref="D405:E405"/>
    <mergeCell ref="D406:E406"/>
    <mergeCell ref="D397:E397"/>
    <mergeCell ref="D398:E398"/>
    <mergeCell ref="D399:E399"/>
    <mergeCell ref="D400:E400"/>
    <mergeCell ref="D401:E401"/>
    <mergeCell ref="D422:E422"/>
    <mergeCell ref="D423:E423"/>
    <mergeCell ref="D424:E424"/>
    <mergeCell ref="D425:E425"/>
    <mergeCell ref="D426:E426"/>
    <mergeCell ref="A413:F413"/>
    <mergeCell ref="A419:F419"/>
    <mergeCell ref="B420:C420"/>
    <mergeCell ref="D421:E421"/>
    <mergeCell ref="D432:E432"/>
    <mergeCell ref="D433:E433"/>
    <mergeCell ref="D434:E434"/>
    <mergeCell ref="D435:E435"/>
    <mergeCell ref="D436:E436"/>
    <mergeCell ref="D427:E427"/>
    <mergeCell ref="D428:E428"/>
    <mergeCell ref="D429:E429"/>
    <mergeCell ref="D430:E430"/>
    <mergeCell ref="D431:E431"/>
    <mergeCell ref="D442:E442"/>
    <mergeCell ref="D443:E443"/>
    <mergeCell ref="D444:E444"/>
    <mergeCell ref="D445:E445"/>
    <mergeCell ref="D446:E446"/>
    <mergeCell ref="D437:E437"/>
    <mergeCell ref="D438:E438"/>
    <mergeCell ref="D439:E439"/>
    <mergeCell ref="D440:E440"/>
    <mergeCell ref="D441:E441"/>
    <mergeCell ref="D462:E462"/>
    <mergeCell ref="D463:E463"/>
    <mergeCell ref="D464:E464"/>
    <mergeCell ref="D465:E465"/>
    <mergeCell ref="D466:E466"/>
    <mergeCell ref="D447:E447"/>
    <mergeCell ref="A454:F454"/>
    <mergeCell ref="A460:F460"/>
    <mergeCell ref="B461:C461"/>
    <mergeCell ref="D472:E472"/>
    <mergeCell ref="D473:E473"/>
    <mergeCell ref="D474:E474"/>
    <mergeCell ref="D475:E475"/>
    <mergeCell ref="D476:E476"/>
    <mergeCell ref="D467:E467"/>
    <mergeCell ref="D468:E468"/>
    <mergeCell ref="D469:E469"/>
    <mergeCell ref="D470:E470"/>
    <mergeCell ref="D471:E471"/>
    <mergeCell ref="D487:E487"/>
    <mergeCell ref="D488:E488"/>
    <mergeCell ref="D482:E482"/>
    <mergeCell ref="D483:E483"/>
    <mergeCell ref="D484:E484"/>
    <mergeCell ref="D485:E485"/>
    <mergeCell ref="D486:E486"/>
    <mergeCell ref="D477:E477"/>
    <mergeCell ref="D478:E478"/>
    <mergeCell ref="D479:E479"/>
    <mergeCell ref="D480:E480"/>
    <mergeCell ref="D481:E481"/>
  </mergeCells>
  <phoneticPr fontId="1"/>
  <pageMargins left="0.51181102362204722" right="0.51181102362204722" top="0.55118110236220474" bottom="0.35433070866141736" header="0.31496062992125984" footer="0.31496062992125984"/>
  <pageSetup paperSize="9" fitToHeight="0" orientation="portrait" horizontalDpi="300" verticalDpi="300" r:id="rId1"/>
  <rowBreaks count="1" manualBreakCount="1">
    <brk id="41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3"/>
  <sheetViews>
    <sheetView tabSelected="1" view="pageBreakPreview" topLeftCell="A13" zoomScale="84" zoomScaleNormal="100" zoomScaleSheetLayoutView="84" workbookViewId="0">
      <selection activeCell="L26" sqref="L26"/>
    </sheetView>
  </sheetViews>
  <sheetFormatPr defaultRowHeight="25.5" customHeight="1"/>
  <cols>
    <col min="1" max="1" width="3" style="1" customWidth="1"/>
    <col min="2" max="8" width="12.125" style="1" customWidth="1"/>
    <col min="9" max="9" width="2.875" style="1" customWidth="1"/>
    <col min="10" max="10" width="9" style="1"/>
    <col min="11" max="11" width="11" style="1" bestFit="1" customWidth="1"/>
    <col min="12" max="14" width="9" style="2"/>
    <col min="15" max="16" width="9" style="1"/>
    <col min="17" max="17" width="12.875" style="1" bestFit="1" customWidth="1"/>
    <col min="18" max="16384" width="9" style="1"/>
  </cols>
  <sheetData>
    <row r="1" spans="1:19" s="12" customFormat="1" ht="20.25" customHeight="1">
      <c r="A1" s="74"/>
      <c r="B1" s="95" t="s">
        <v>8</v>
      </c>
      <c r="C1" s="74"/>
      <c r="D1" s="74"/>
      <c r="E1" s="74"/>
      <c r="F1" s="74"/>
      <c r="G1" s="74"/>
      <c r="H1" s="74"/>
      <c r="I1" s="74"/>
    </row>
    <row r="2" spans="1:19" s="12" customFormat="1" ht="6" customHeight="1">
      <c r="A2" s="74"/>
      <c r="B2" s="75"/>
      <c r="C2" s="74"/>
      <c r="D2" s="74"/>
      <c r="E2" s="74"/>
      <c r="F2" s="74"/>
      <c r="G2" s="74"/>
      <c r="H2" s="74"/>
      <c r="I2" s="74"/>
    </row>
    <row r="3" spans="1:19" s="92" customFormat="1" ht="36.75" customHeight="1">
      <c r="A3" s="91"/>
      <c r="B3" s="161" t="str">
        <f>'様式１（区への申請用）'!E7</f>
        <v>洋光台</v>
      </c>
      <c r="C3" s="161"/>
      <c r="D3" s="91" t="s">
        <v>88</v>
      </c>
      <c r="E3" s="91"/>
      <c r="F3" s="91"/>
      <c r="G3" s="91"/>
      <c r="H3" s="91"/>
      <c r="I3" s="91"/>
      <c r="K3" s="93"/>
      <c r="L3" s="93"/>
      <c r="M3" s="93"/>
      <c r="N3" s="93"/>
      <c r="O3" s="93"/>
      <c r="P3" s="93"/>
      <c r="Q3" s="93"/>
      <c r="R3" s="93"/>
      <c r="S3" s="93"/>
    </row>
    <row r="4" spans="1:19" s="3" customFormat="1" ht="27" customHeight="1">
      <c r="A4" s="76"/>
      <c r="B4" s="165" t="s">
        <v>40</v>
      </c>
      <c r="C4" s="168" t="s">
        <v>87</v>
      </c>
      <c r="D4" s="168"/>
      <c r="E4" s="168"/>
      <c r="F4" s="168"/>
      <c r="G4" s="168"/>
      <c r="H4" s="168"/>
      <c r="I4" s="76"/>
      <c r="K4" s="61"/>
      <c r="L4" s="62"/>
      <c r="M4" s="62"/>
      <c r="N4" s="62"/>
      <c r="O4" s="61"/>
      <c r="P4" s="61"/>
      <c r="Q4" s="61"/>
      <c r="R4" s="61"/>
      <c r="S4" s="61"/>
    </row>
    <row r="5" spans="1:19" s="3" customFormat="1" ht="27" customHeight="1">
      <c r="A5" s="76"/>
      <c r="B5" s="166"/>
      <c r="C5" s="169"/>
      <c r="D5" s="169"/>
      <c r="E5" s="169"/>
      <c r="F5" s="169"/>
      <c r="G5" s="169"/>
      <c r="H5" s="169"/>
      <c r="I5" s="76"/>
      <c r="K5" s="61"/>
      <c r="L5" s="62"/>
      <c r="M5" s="62"/>
      <c r="N5" s="62"/>
      <c r="O5" s="61"/>
      <c r="P5" s="61"/>
      <c r="Q5" s="61"/>
      <c r="R5" s="61"/>
      <c r="S5" s="61"/>
    </row>
    <row r="6" spans="1:19" s="3" customFormat="1" ht="27" customHeight="1">
      <c r="A6" s="76"/>
      <c r="B6" s="166"/>
      <c r="C6" s="169" t="s">
        <v>43</v>
      </c>
      <c r="D6" s="169"/>
      <c r="E6" s="169"/>
      <c r="F6" s="169"/>
      <c r="G6" s="169"/>
      <c r="H6" s="169"/>
      <c r="I6" s="76"/>
      <c r="K6" s="61"/>
      <c r="L6" s="62"/>
      <c r="M6" s="62"/>
      <c r="N6" s="62"/>
      <c r="O6" s="61"/>
      <c r="P6" s="61"/>
      <c r="Q6" s="61"/>
      <c r="R6" s="61"/>
      <c r="S6" s="61"/>
    </row>
    <row r="7" spans="1:19" s="3" customFormat="1" ht="27" customHeight="1">
      <c r="A7" s="76"/>
      <c r="B7" s="167"/>
      <c r="C7" s="170"/>
      <c r="D7" s="170"/>
      <c r="E7" s="170"/>
      <c r="F7" s="170"/>
      <c r="G7" s="170"/>
      <c r="H7" s="170"/>
      <c r="I7" s="76"/>
      <c r="K7" s="61"/>
      <c r="L7" s="62"/>
      <c r="M7" s="63"/>
      <c r="N7" s="63"/>
      <c r="O7" s="63"/>
      <c r="P7" s="63"/>
      <c r="Q7" s="61"/>
      <c r="R7" s="61"/>
      <c r="S7" s="61"/>
    </row>
    <row r="8" spans="1:19" s="3" customFormat="1" ht="33.75" customHeight="1">
      <c r="A8" s="76"/>
      <c r="B8" s="77" t="s">
        <v>41</v>
      </c>
      <c r="C8" s="171" t="s">
        <v>42</v>
      </c>
      <c r="D8" s="171"/>
      <c r="E8" s="171"/>
      <c r="F8" s="171"/>
      <c r="G8" s="171"/>
      <c r="H8" s="171"/>
      <c r="I8" s="76"/>
      <c r="K8" s="61"/>
      <c r="L8" s="62"/>
      <c r="M8" s="62"/>
      <c r="N8" s="62"/>
      <c r="O8" s="61"/>
      <c r="P8" s="61"/>
      <c r="Q8" s="61"/>
      <c r="R8" s="61"/>
      <c r="S8" s="61"/>
    </row>
    <row r="9" spans="1:19" s="3" customFormat="1" ht="24.75" customHeight="1">
      <c r="A9" s="76"/>
      <c r="B9" s="163"/>
      <c r="C9" s="164"/>
      <c r="D9" s="164"/>
      <c r="E9" s="164"/>
      <c r="F9" s="164"/>
      <c r="G9" s="164"/>
      <c r="H9" s="164"/>
      <c r="I9" s="76"/>
      <c r="K9" s="61"/>
      <c r="L9" s="62"/>
      <c r="M9" s="62"/>
      <c r="N9" s="62"/>
      <c r="O9" s="61"/>
      <c r="P9" s="61"/>
      <c r="Q9" s="61"/>
      <c r="R9" s="61"/>
      <c r="S9" s="61"/>
    </row>
    <row r="10" spans="1:19" s="13" customFormat="1" ht="11.25" customHeight="1" thickBot="1">
      <c r="A10" s="78"/>
      <c r="B10" s="78"/>
      <c r="C10" s="78"/>
      <c r="D10" s="78"/>
      <c r="E10" s="78"/>
      <c r="F10" s="78"/>
      <c r="G10" s="78"/>
      <c r="H10" s="78"/>
      <c r="I10" s="78"/>
      <c r="K10" s="11"/>
      <c r="L10" s="2"/>
      <c r="M10" s="2"/>
      <c r="N10" s="2"/>
      <c r="O10" s="11"/>
      <c r="P10" s="11"/>
      <c r="Q10" s="11"/>
      <c r="R10" s="11"/>
      <c r="S10" s="11"/>
    </row>
    <row r="11" spans="1:19" ht="18.75" customHeight="1" thickTop="1">
      <c r="A11" s="79"/>
      <c r="B11" s="172">
        <v>2026</v>
      </c>
      <c r="C11" s="172"/>
      <c r="D11" s="174">
        <v>3</v>
      </c>
      <c r="E11" s="176" t="s">
        <v>25</v>
      </c>
      <c r="F11" s="176"/>
      <c r="G11" s="176"/>
      <c r="H11" s="176"/>
      <c r="I11" s="98"/>
    </row>
    <row r="12" spans="1:19" ht="18.75" customHeight="1">
      <c r="A12" s="80"/>
      <c r="B12" s="173"/>
      <c r="C12" s="173"/>
      <c r="D12" s="175"/>
      <c r="E12" s="177"/>
      <c r="F12" s="177"/>
      <c r="G12" s="177"/>
      <c r="H12" s="177"/>
      <c r="I12" s="99"/>
    </row>
    <row r="13" spans="1:19" ht="13.5" customHeight="1">
      <c r="A13" s="80"/>
      <c r="D13" s="81"/>
      <c r="I13" s="99"/>
    </row>
    <row r="14" spans="1:19" s="16" customFormat="1" ht="27.75" customHeight="1">
      <c r="A14" s="82"/>
      <c r="B14" s="178" t="s">
        <v>95</v>
      </c>
      <c r="C14" s="178"/>
      <c r="D14" s="178"/>
      <c r="E14" s="178"/>
      <c r="F14" s="178"/>
      <c r="G14" s="178"/>
      <c r="H14" s="178"/>
      <c r="I14" s="100"/>
      <c r="L14" s="17"/>
      <c r="M14" s="17"/>
      <c r="N14" s="17"/>
    </row>
    <row r="15" spans="1:19" ht="3" customHeight="1" thickBot="1">
      <c r="A15" s="80"/>
      <c r="B15" s="3"/>
      <c r="I15" s="99"/>
    </row>
    <row r="16" spans="1:19" s="11" customFormat="1" ht="17.25" thickBot="1">
      <c r="A16" s="83"/>
      <c r="B16" s="84" t="s">
        <v>4</v>
      </c>
      <c r="C16" s="85" t="s">
        <v>5</v>
      </c>
      <c r="D16" s="85" t="s">
        <v>6</v>
      </c>
      <c r="E16" s="85" t="s">
        <v>7</v>
      </c>
      <c r="F16" s="85" t="s">
        <v>1</v>
      </c>
      <c r="G16" s="85" t="s">
        <v>2</v>
      </c>
      <c r="H16" s="85" t="s">
        <v>3</v>
      </c>
      <c r="I16" s="101"/>
      <c r="L16" s="2"/>
      <c r="M16" s="2"/>
      <c r="N16" s="2"/>
    </row>
    <row r="17" spans="1:14" s="14" customFormat="1" ht="27.75">
      <c r="A17" s="86"/>
      <c r="B17" s="87">
        <f>DATE($B$11,$D$11,1)-(WEEKDAY(DATE($B$11,$D$11,1))-1)</f>
        <v>46082</v>
      </c>
      <c r="C17" s="87">
        <f>B17+1</f>
        <v>46083</v>
      </c>
      <c r="D17" s="87">
        <f t="shared" ref="D17:H17" si="0">C17+1</f>
        <v>46084</v>
      </c>
      <c r="E17" s="87">
        <f t="shared" si="0"/>
        <v>46085</v>
      </c>
      <c r="F17" s="87">
        <f t="shared" si="0"/>
        <v>46086</v>
      </c>
      <c r="G17" s="87">
        <f t="shared" si="0"/>
        <v>46087</v>
      </c>
      <c r="H17" s="87">
        <f t="shared" si="0"/>
        <v>46088</v>
      </c>
      <c r="I17" s="102"/>
      <c r="J17" s="15"/>
      <c r="K17" s="15"/>
    </row>
    <row r="18" spans="1:14" ht="13.5">
      <c r="A18" s="80"/>
      <c r="B18" s="88" t="str">
        <f>IFERROR(VLOOKUP(B17,'入力表（利用申込のない夜間閉館）'!$B:$E,3,FALSE),"")</f>
        <v>17時閉館</v>
      </c>
      <c r="C18" s="88" t="str">
        <f>IFERROR(VLOOKUP(C17,'入力表（利用申込のない夜間閉館）'!$B:$E,3,FALSE),"")</f>
        <v>★18時閉館</v>
      </c>
      <c r="D18" s="88" t="str">
        <f>IFERROR(VLOOKUP(D17,'入力表（利用申込のない夜間閉館）'!$B:$E,3,FALSE),"")</f>
        <v>★18時閉館</v>
      </c>
      <c r="E18" s="88" t="str">
        <f>IFERROR(VLOOKUP(E17,'入力表（利用申込のない夜間閉館）'!$B:$E,3,FALSE),"")</f>
        <v>21時閉館</v>
      </c>
      <c r="F18" s="88" t="str">
        <f>IFERROR(VLOOKUP(F17,'入力表（利用申込のない夜間閉館）'!$B:$E,3,FALSE),"")</f>
        <v>★18時閉館</v>
      </c>
      <c r="G18" s="88" t="str">
        <f>IFERROR(VLOOKUP(G17,'入力表（利用申込のない夜間閉館）'!$B:$E,3,FALSE),"")</f>
        <v>21時閉館</v>
      </c>
      <c r="H18" s="88" t="str">
        <f>IFERROR(VLOOKUP(H17,'入力表（利用申込のない夜間閉館）'!$B:$E,3,FALSE),"")</f>
        <v>★18時閉館</v>
      </c>
      <c r="I18" s="99"/>
      <c r="L18" s="1"/>
      <c r="M18" s="1"/>
      <c r="N18" s="1"/>
    </row>
    <row r="19" spans="1:14" ht="14.25" thickBot="1">
      <c r="A19" s="80"/>
      <c r="B19" s="89"/>
      <c r="C19" s="89"/>
      <c r="D19" s="89"/>
      <c r="E19" s="89"/>
      <c r="F19" s="89"/>
      <c r="G19" s="89"/>
      <c r="H19" s="89"/>
      <c r="I19" s="99"/>
      <c r="L19" s="1"/>
      <c r="M19" s="1"/>
      <c r="N19" s="1"/>
    </row>
    <row r="20" spans="1:14" s="14" customFormat="1" ht="27.75">
      <c r="A20" s="86"/>
      <c r="B20" s="87">
        <f>H17+1</f>
        <v>46089</v>
      </c>
      <c r="C20" s="87">
        <f>B20+1</f>
        <v>46090</v>
      </c>
      <c r="D20" s="87">
        <f t="shared" ref="D20:H20" si="1">C20+1</f>
        <v>46091</v>
      </c>
      <c r="E20" s="87">
        <f t="shared" si="1"/>
        <v>46092</v>
      </c>
      <c r="F20" s="87">
        <f t="shared" si="1"/>
        <v>46093</v>
      </c>
      <c r="G20" s="87">
        <f t="shared" si="1"/>
        <v>46094</v>
      </c>
      <c r="H20" s="87">
        <f t="shared" si="1"/>
        <v>46095</v>
      </c>
      <c r="I20" s="102"/>
      <c r="J20" s="15"/>
      <c r="K20" s="15"/>
    </row>
    <row r="21" spans="1:14" ht="13.5">
      <c r="A21" s="80"/>
      <c r="B21" s="88" t="str">
        <f>IFERROR(VLOOKUP(B20,'入力表（利用申込のない夜間閉館）'!$B:$E,3,FALSE),"")</f>
        <v>17時閉館</v>
      </c>
      <c r="C21" s="88" t="str">
        <f>IFERROR(VLOOKUP(C20,'入力表（利用申込のない夜間閉館）'!$B:$E,3,FALSE),"")</f>
        <v>★18時閉館</v>
      </c>
      <c r="D21" s="90" t="str">
        <f>IFERROR(VLOOKUP(D20,'入力表（利用申込のない夜間閉館）'!$B:$E,3,FALSE),"")</f>
        <v>★18時閉館</v>
      </c>
      <c r="E21" s="88" t="str">
        <f>IFERROR(VLOOKUP(E20,'入力表（利用申込のない夜間閉館）'!$B:$E,3,FALSE),"")</f>
        <v>21時閉館</v>
      </c>
      <c r="F21" s="90" t="str">
        <f>IFERROR(VLOOKUP(F20,'入力表（利用申込のない夜間閉館）'!$B:$E,3,FALSE),"")</f>
        <v>21時閉館</v>
      </c>
      <c r="G21" s="88" t="str">
        <f>IFERROR(VLOOKUP(G20,'入力表（利用申込のない夜間閉館）'!$B:$E,3,FALSE),"")</f>
        <v>21時閉館</v>
      </c>
      <c r="H21" s="88" t="str">
        <f>IFERROR(VLOOKUP(H20,'入力表（利用申込のない夜間閉館）'!$B:$E,3,FALSE),"")</f>
        <v>★18時閉館</v>
      </c>
      <c r="I21" s="99"/>
      <c r="L21" s="1"/>
      <c r="M21" s="1"/>
      <c r="N21" s="1"/>
    </row>
    <row r="22" spans="1:14" ht="14.25" thickBot="1">
      <c r="A22" s="80"/>
      <c r="B22" s="89"/>
      <c r="C22" s="89"/>
      <c r="D22" s="89"/>
      <c r="E22" s="89"/>
      <c r="F22" s="89"/>
      <c r="G22" s="89"/>
      <c r="H22" s="89"/>
      <c r="I22" s="99"/>
      <c r="L22" s="1"/>
      <c r="M22" s="1"/>
      <c r="N22" s="1"/>
    </row>
    <row r="23" spans="1:14" s="14" customFormat="1" ht="27.75">
      <c r="A23" s="86"/>
      <c r="B23" s="87">
        <f>H20+1</f>
        <v>46096</v>
      </c>
      <c r="C23" s="87">
        <f>B23+1</f>
        <v>46097</v>
      </c>
      <c r="D23" s="87">
        <f t="shared" ref="D23:H23" si="2">C23+1</f>
        <v>46098</v>
      </c>
      <c r="E23" s="87">
        <f t="shared" si="2"/>
        <v>46099</v>
      </c>
      <c r="F23" s="87">
        <f t="shared" si="2"/>
        <v>46100</v>
      </c>
      <c r="G23" s="87">
        <f t="shared" si="2"/>
        <v>46101</v>
      </c>
      <c r="H23" s="87">
        <f t="shared" si="2"/>
        <v>46102</v>
      </c>
      <c r="I23" s="102"/>
      <c r="J23" s="15"/>
      <c r="K23" s="15"/>
    </row>
    <row r="24" spans="1:14" ht="13.5">
      <c r="A24" s="80"/>
      <c r="B24" s="88" t="str">
        <f>IFERROR(VLOOKUP(B23,'入力表（利用申込のない夜間閉館）'!$B:$E,3,FALSE),"")</f>
        <v>17時閉館</v>
      </c>
      <c r="C24" s="88" t="str">
        <f>IFERROR(VLOOKUP(C23,'入力表（利用申込のない夜間閉館）'!$B:$E,3,FALSE),"")</f>
        <v>休館日</v>
      </c>
      <c r="D24" s="90" t="str">
        <f>IFERROR(VLOOKUP(D23,'入力表（利用申込のない夜間閉館）'!$B:$E,3,FALSE),"")</f>
        <v>★18時閉館</v>
      </c>
      <c r="E24" s="88" t="str">
        <f>IFERROR(VLOOKUP(E23,'入力表（利用申込のない夜間閉館）'!$B:$E,3,FALSE),"")</f>
        <v>21時閉館</v>
      </c>
      <c r="F24" s="90" t="str">
        <f>IFERROR(VLOOKUP(F23,'入力表（利用申込のない夜間閉館）'!$B:$E,3,FALSE),"")</f>
        <v>21時閉館</v>
      </c>
      <c r="G24" s="88" t="str">
        <f>IFERROR(VLOOKUP(G23,'入力表（利用申込のない夜間閉館）'!$B:$E,3,FALSE),"")</f>
        <v>17時閉館</v>
      </c>
      <c r="H24" s="88" t="str">
        <f>IFERROR(VLOOKUP(H23,'入力表（利用申込のない夜間閉館）'!$B:$E,3,FALSE),"")</f>
        <v>21時閉館</v>
      </c>
      <c r="I24" s="99"/>
      <c r="L24" s="1"/>
      <c r="M24" s="1"/>
      <c r="N24" s="1"/>
    </row>
    <row r="25" spans="1:14" ht="14.25" thickBot="1">
      <c r="A25" s="80"/>
      <c r="B25" s="89"/>
      <c r="C25" s="89"/>
      <c r="D25" s="89"/>
      <c r="E25" s="89"/>
      <c r="F25" s="89"/>
      <c r="G25" s="89"/>
      <c r="H25" s="89"/>
      <c r="I25" s="99"/>
      <c r="L25" s="1"/>
      <c r="M25" s="1"/>
      <c r="N25" s="1"/>
    </row>
    <row r="26" spans="1:14" s="14" customFormat="1" ht="27.75">
      <c r="A26" s="86"/>
      <c r="B26" s="87">
        <f>H23+1</f>
        <v>46103</v>
      </c>
      <c r="C26" s="87">
        <f>B26+1</f>
        <v>46104</v>
      </c>
      <c r="D26" s="87">
        <f t="shared" ref="D26:H26" si="3">C26+1</f>
        <v>46105</v>
      </c>
      <c r="E26" s="87">
        <f t="shared" si="3"/>
        <v>46106</v>
      </c>
      <c r="F26" s="87">
        <f t="shared" si="3"/>
        <v>46107</v>
      </c>
      <c r="G26" s="87">
        <f t="shared" si="3"/>
        <v>46108</v>
      </c>
      <c r="H26" s="87">
        <f t="shared" si="3"/>
        <v>46109</v>
      </c>
      <c r="I26" s="102"/>
      <c r="J26" s="15"/>
      <c r="K26" s="15"/>
    </row>
    <row r="27" spans="1:14" ht="13.5">
      <c r="A27" s="80"/>
      <c r="B27" s="88" t="str">
        <f>IFERROR(VLOOKUP(B26,'入力表（利用申込のない夜間閉館）'!$B:$E,3,FALSE),"")</f>
        <v>17時閉館</v>
      </c>
      <c r="C27" s="88" t="str">
        <f>IFERROR(VLOOKUP(C26,'入力表（利用申込のない夜間閉館）'!$B:$E,3,FALSE),"")</f>
        <v>★18時閉館</v>
      </c>
      <c r="D27" s="90" t="str">
        <f>IFERROR(VLOOKUP(D26,'入力表（利用申込のない夜間閉館）'!$B:$E,3,FALSE),"")</f>
        <v>★18時閉館</v>
      </c>
      <c r="E27" s="88" t="str">
        <f>IFERROR(VLOOKUP(E26,'入力表（利用申込のない夜間閉館）'!$B:$E,3,FALSE),"")</f>
        <v>21時閉館</v>
      </c>
      <c r="F27" s="88" t="str">
        <f>IFERROR(VLOOKUP(F26,'入力表（利用申込のない夜間閉館）'!$B:$E,3,FALSE),"")</f>
        <v>★18時閉館</v>
      </c>
      <c r="G27" s="88" t="str">
        <f>IFERROR(VLOOKUP(G26,'入力表（利用申込のない夜間閉館）'!$B:$E,3,FALSE),"")</f>
        <v>★18時閉館</v>
      </c>
      <c r="H27" s="88" t="str">
        <f>IFERROR(VLOOKUP(H26,'入力表（利用申込のない夜間閉館）'!$B:$E,3,FALSE),"")</f>
        <v>★18時閉館</v>
      </c>
      <c r="I27" s="99"/>
      <c r="L27" s="1"/>
      <c r="M27" s="1"/>
      <c r="N27" s="1"/>
    </row>
    <row r="28" spans="1:14" ht="14.25" thickBot="1">
      <c r="A28" s="80"/>
      <c r="B28" s="89"/>
      <c r="C28" s="89"/>
      <c r="D28" s="89"/>
      <c r="E28" s="89"/>
      <c r="F28" s="89"/>
      <c r="G28" s="89"/>
      <c r="H28" s="89"/>
      <c r="I28" s="99"/>
      <c r="L28" s="1"/>
      <c r="M28" s="1"/>
      <c r="N28" s="1"/>
    </row>
    <row r="29" spans="1:14" s="14" customFormat="1" ht="27.75">
      <c r="A29" s="86"/>
      <c r="B29" s="87">
        <f>H26+1</f>
        <v>46110</v>
      </c>
      <c r="C29" s="87">
        <f>B29+1</f>
        <v>46111</v>
      </c>
      <c r="D29" s="87">
        <f t="shared" ref="D29:H29" si="4">C29+1</f>
        <v>46112</v>
      </c>
      <c r="E29" s="87">
        <f t="shared" si="4"/>
        <v>46113</v>
      </c>
      <c r="F29" s="87">
        <f t="shared" si="4"/>
        <v>46114</v>
      </c>
      <c r="G29" s="87">
        <f t="shared" si="4"/>
        <v>46115</v>
      </c>
      <c r="H29" s="87">
        <f t="shared" si="4"/>
        <v>46116</v>
      </c>
      <c r="I29" s="102"/>
      <c r="J29" s="15"/>
      <c r="K29" s="15"/>
    </row>
    <row r="30" spans="1:14" ht="13.5">
      <c r="A30" s="80"/>
      <c r="B30" s="88" t="str">
        <f>IFERROR(VLOOKUP(B29,'入力表（利用申込のない夜間閉館）'!$B:$E,3,FALSE),"")</f>
        <v>17時閉館</v>
      </c>
      <c r="C30" s="88" t="str">
        <f>IFERROR(VLOOKUP(C29,'入力表（利用申込のない夜間閉館）'!$B:$E,3,FALSE),"")</f>
        <v>★18時閉館</v>
      </c>
      <c r="D30" s="90" t="str">
        <f>IFERROR(VLOOKUP(D29,'入力表（利用申込のない夜間閉館）'!$B:$E,3,FALSE),"")</f>
        <v>★18時閉館</v>
      </c>
      <c r="E30" s="88" t="str">
        <f>IFERROR(VLOOKUP(E29,'入力表（利用申込のない夜間閉館）'!$B:$E,3,FALSE),"")</f>
        <v/>
      </c>
      <c r="F30" s="90" t="str">
        <f>IFERROR(VLOOKUP(F29,'入力表（利用申込のない夜間閉館）'!$B:$E,3,FALSE),"")</f>
        <v/>
      </c>
      <c r="G30" s="88" t="str">
        <f>IFERROR(VLOOKUP(G29,'入力表（利用申込のない夜間閉館）'!$B:$E,3,FALSE),"")</f>
        <v/>
      </c>
      <c r="H30" s="88" t="str">
        <f>IFERROR(VLOOKUP(H29,'入力表（利用申込のない夜間閉館）'!$B:$E,3,FALSE),"")</f>
        <v/>
      </c>
      <c r="I30" s="99"/>
      <c r="L30" s="1"/>
      <c r="M30" s="1"/>
      <c r="N30" s="1"/>
    </row>
    <row r="31" spans="1:14" ht="14.25" thickBot="1">
      <c r="A31" s="80"/>
      <c r="B31" s="89"/>
      <c r="C31" s="89"/>
      <c r="D31" s="89"/>
      <c r="E31" s="89"/>
      <c r="F31" s="89"/>
      <c r="G31" s="89"/>
      <c r="H31" s="89"/>
      <c r="I31" s="99"/>
      <c r="L31" s="1"/>
      <c r="M31" s="1"/>
      <c r="N31" s="1"/>
    </row>
    <row r="32" spans="1:14" s="14" customFormat="1" ht="27.75">
      <c r="A32" s="86"/>
      <c r="B32" s="87">
        <f>H29+1</f>
        <v>46117</v>
      </c>
      <c r="C32" s="87">
        <f>B32+1</f>
        <v>46118</v>
      </c>
      <c r="D32" s="87">
        <f t="shared" ref="D32" si="5">C32+1</f>
        <v>46119</v>
      </c>
      <c r="E32" s="87">
        <f t="shared" ref="E32" si="6">D32+1</f>
        <v>46120</v>
      </c>
      <c r="F32" s="87">
        <f t="shared" ref="F32" si="7">E32+1</f>
        <v>46121</v>
      </c>
      <c r="G32" s="87">
        <f t="shared" ref="G32" si="8">F32+1</f>
        <v>46122</v>
      </c>
      <c r="H32" s="87">
        <f t="shared" ref="H32" si="9">G32+1</f>
        <v>46123</v>
      </c>
      <c r="I32" s="102"/>
      <c r="J32" s="15"/>
      <c r="K32" s="15"/>
    </row>
    <row r="33" spans="1:14" ht="13.5">
      <c r="A33" s="80"/>
      <c r="B33" s="88" t="str">
        <f>IFERROR(VLOOKUP(B32,'入力表（利用申込のない夜間閉館）'!$B:$E,3,FALSE),"")</f>
        <v/>
      </c>
      <c r="C33" s="88" t="str">
        <f>IFERROR(VLOOKUP(C32,'入力表（利用申込のない夜間閉館）'!$B:$E,3,FALSE),"")</f>
        <v/>
      </c>
      <c r="D33" s="88" t="str">
        <f>IFERROR(VLOOKUP(D32,'入力表（利用申込のない夜間閉館）'!$B:$E,3,FALSE),"")</f>
        <v/>
      </c>
      <c r="E33" s="88" t="str">
        <f>IFERROR(VLOOKUP(E32,'入力表（利用申込のない夜間閉館）'!$B:$E,3,FALSE),"")</f>
        <v/>
      </c>
      <c r="F33" s="88" t="str">
        <f>IFERROR(VLOOKUP(F32,'入力表（利用申込のない夜間閉館）'!$B:$E,3,FALSE),"")</f>
        <v/>
      </c>
      <c r="G33" s="88" t="str">
        <f>IFERROR(VLOOKUP(G32,'入力表（利用申込のない夜間閉館）'!$B:$E,3,FALSE),"")</f>
        <v/>
      </c>
      <c r="H33" s="88" t="str">
        <f>IFERROR(VLOOKUP(H32,'入力表（利用申込のない夜間閉館）'!$B:$E,3,FALSE),"")</f>
        <v/>
      </c>
      <c r="I33" s="99"/>
      <c r="L33" s="1"/>
      <c r="M33" s="1"/>
      <c r="N33" s="1"/>
    </row>
    <row r="34" spans="1:14" ht="14.25" thickBot="1">
      <c r="A34" s="80"/>
      <c r="B34" s="89"/>
      <c r="C34" s="89"/>
      <c r="D34" s="89"/>
      <c r="E34" s="89"/>
      <c r="F34" s="89"/>
      <c r="G34" s="89"/>
      <c r="H34" s="89"/>
      <c r="I34" s="99"/>
      <c r="L34" s="1"/>
      <c r="M34" s="1"/>
      <c r="N34" s="1"/>
    </row>
    <row r="35" spans="1:14" ht="6.75" customHeight="1" thickBot="1">
      <c r="A35" s="64"/>
      <c r="B35" s="103"/>
      <c r="C35" s="103"/>
      <c r="D35" s="103"/>
      <c r="E35" s="103"/>
      <c r="F35" s="103"/>
      <c r="G35" s="103"/>
      <c r="H35" s="103"/>
      <c r="I35" s="104"/>
    </row>
    <row r="36" spans="1:14" s="16" customFormat="1" ht="8.25" customHeight="1" thickTop="1">
      <c r="A36" s="105"/>
      <c r="B36" s="162"/>
      <c r="C36" s="162"/>
      <c r="D36" s="162"/>
      <c r="E36" s="162"/>
      <c r="F36" s="162"/>
      <c r="G36" s="162"/>
      <c r="H36" s="162"/>
      <c r="I36" s="105"/>
      <c r="L36" s="17"/>
      <c r="M36" s="17"/>
      <c r="N36" s="17"/>
    </row>
    <row r="37" spans="1:14" s="94" customFormat="1" ht="19.5" customHeight="1">
      <c r="A37" s="106"/>
      <c r="B37" s="96" t="s">
        <v>89</v>
      </c>
      <c r="C37" s="106"/>
      <c r="D37" s="106"/>
      <c r="E37" s="106"/>
      <c r="F37" s="106"/>
      <c r="G37" s="106"/>
      <c r="H37" s="106"/>
      <c r="I37" s="106"/>
    </row>
    <row r="38" spans="1:14" s="94" customFormat="1" ht="19.5" customHeight="1">
      <c r="A38" s="106"/>
      <c r="B38" s="96" t="s">
        <v>90</v>
      </c>
      <c r="C38" s="106"/>
      <c r="D38" s="106"/>
      <c r="E38" s="106"/>
      <c r="F38" s="106"/>
      <c r="G38" s="106"/>
      <c r="H38" s="106"/>
      <c r="I38" s="106"/>
    </row>
    <row r="39" spans="1:14" s="94" customFormat="1" ht="19.5" customHeight="1">
      <c r="A39" s="106"/>
      <c r="B39" s="96" t="s">
        <v>91</v>
      </c>
      <c r="C39" s="106"/>
      <c r="D39" s="106"/>
      <c r="E39" s="106"/>
      <c r="F39" s="106"/>
      <c r="G39" s="106"/>
      <c r="H39" s="106"/>
      <c r="I39" s="106"/>
    </row>
    <row r="40" spans="1:14" s="94" customFormat="1" ht="19.5" customHeight="1">
      <c r="A40" s="106"/>
      <c r="B40" s="106" t="s">
        <v>92</v>
      </c>
      <c r="C40" s="106"/>
      <c r="D40" s="106"/>
      <c r="E40" s="106"/>
      <c r="F40" s="106"/>
      <c r="G40" s="106"/>
      <c r="H40" s="106"/>
      <c r="I40" s="106"/>
    </row>
    <row r="41" spans="1:14" s="97" customFormat="1" ht="19.5" customHeight="1">
      <c r="A41" s="107"/>
      <c r="B41" s="107" t="s">
        <v>93</v>
      </c>
      <c r="C41" s="107"/>
      <c r="D41" s="107"/>
      <c r="E41" s="107"/>
      <c r="F41" s="107"/>
      <c r="G41" s="107"/>
      <c r="H41" s="107"/>
      <c r="I41" s="107"/>
    </row>
    <row r="42" spans="1:14" s="97" customFormat="1" ht="19.5" customHeight="1">
      <c r="A42" s="107"/>
      <c r="B42" s="107" t="s">
        <v>94</v>
      </c>
      <c r="C42" s="107"/>
      <c r="D42" s="107"/>
      <c r="E42" s="107"/>
      <c r="F42" s="107"/>
      <c r="G42" s="107"/>
      <c r="H42" s="107"/>
      <c r="I42" s="107"/>
    </row>
    <row r="43" spans="1:14" ht="25.5" customHeight="1">
      <c r="A43" s="108"/>
      <c r="B43" s="108"/>
      <c r="C43" s="108"/>
      <c r="D43" s="108"/>
      <c r="E43" s="108"/>
      <c r="F43" s="108"/>
      <c r="G43" s="108"/>
      <c r="H43" s="108"/>
      <c r="I43" s="108"/>
    </row>
  </sheetData>
  <sheetProtection sheet="1" formatCells="0" formatColumns="0" formatRows="0"/>
  <mergeCells count="11">
    <mergeCell ref="B3:C3"/>
    <mergeCell ref="B36:H36"/>
    <mergeCell ref="B9:H9"/>
    <mergeCell ref="B4:B7"/>
    <mergeCell ref="C4:H5"/>
    <mergeCell ref="C6:H7"/>
    <mergeCell ref="C8:H8"/>
    <mergeCell ref="B11:C12"/>
    <mergeCell ref="D11:D12"/>
    <mergeCell ref="E11:H12"/>
    <mergeCell ref="B14:H14"/>
  </mergeCells>
  <phoneticPr fontId="1"/>
  <conditionalFormatting sqref="B17:H17 B20:H20 B23:H23 B26:H26 B29:H29 B32:H32">
    <cfRule type="expression" dxfId="9" priority="234">
      <formula>IF(WEEKDAY(B17,1)=1,TRUE)</formula>
    </cfRule>
    <cfRule type="expression" dxfId="8" priority="235">
      <formula>IF(MONTH(B17)&lt;&gt;$D$11,TRUE)</formula>
    </cfRule>
  </conditionalFormatting>
  <conditionalFormatting sqref="B17:H34">
    <cfRule type="expression" dxfId="7" priority="222">
      <formula>IF($D$11=MONTH(B17),TRUE)</formula>
    </cfRule>
  </conditionalFormatting>
  <conditionalFormatting sqref="B18:H18 B21:H21 B24:H24 B27:H27 B30:H30 B33:H33">
    <cfRule type="expression" dxfId="6" priority="1" stopIfTrue="1">
      <formula>IF(MONTH(B17)&lt;&gt;$D$11,TRUE)</formula>
    </cfRule>
    <cfRule type="expression" dxfId="5" priority="2">
      <formula>IF(B18="★18時閉館",TRUE)</formula>
    </cfRule>
    <cfRule type="expression" dxfId="4" priority="203">
      <formula>IF(B18="休館日",TRUE)</formula>
    </cfRule>
    <cfRule type="expression" dxfId="3" priority="205">
      <formula>IF(B18="21時閉館",TRUE)</formula>
    </cfRule>
    <cfRule type="expression" dxfId="2" priority="206">
      <formula>IF($D$11=MONTH(B17),TRUE)</formula>
    </cfRule>
  </conditionalFormatting>
  <conditionalFormatting sqref="B19:H19 B22:H22 B25:H25 B28:H28 B31:H31 B34:H34">
    <cfRule type="expression" dxfId="1" priority="204" stopIfTrue="1">
      <formula>IF(MONTH(B17)&lt;&gt;$D$11,TRUE)</formula>
    </cfRule>
    <cfRule type="expression" dxfId="0" priority="223">
      <formula>IF($D$11=MONTH(B17),TRUE)</formula>
    </cfRule>
  </conditionalFormatting>
  <dataValidations count="1">
    <dataValidation type="list" allowBlank="1" showInputMessage="1" showErrorMessage="1" sqref="D13 D11" xr:uid="{00000000-0002-0000-0400-000000000000}">
      <formula1>"4,5,6,7,8,9,10,11,12,1,2,3"</formula1>
    </dataValidation>
  </dataValidations>
  <pageMargins left="0.39370078740157483" right="0.39370078740157483" top="0.55118110236220474" bottom="0" header="0.31496062992125984" footer="0.31496062992125984"/>
  <pageSetup paperSize="9" scale="96" orientation="portrait" horizontalDpi="1200" verticalDpi="120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2" id="{673B7115-0C77-4E5E-B7CC-D936C90FCEF9}">
            <xm:f>IF(COUNTIF(休館日・祝日!$E:$E,B17)&gt;=1,TRUE)</xm:f>
            <x14:dxf>
              <font>
                <b/>
                <i val="0"/>
                <color rgb="FFFF0000"/>
              </font>
            </x14:dxf>
          </x14:cfRule>
          <xm:sqref>B17:H17 B20:H20 B23:H23 B26:H26 B29:H29 B32:H32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使い方</vt:lpstr>
      <vt:lpstr>休館日・祝日</vt:lpstr>
      <vt:lpstr>入力表（利用申込のない夜間閉館）</vt:lpstr>
      <vt:lpstr>様式１（区への申請用）</vt:lpstr>
      <vt:lpstr>市民向け掲示カレンダー</vt:lpstr>
      <vt:lpstr>休館日・祝日!Print_Area</vt:lpstr>
      <vt:lpstr>使い方!Print_Area</vt:lpstr>
      <vt:lpstr>市民向け掲示カレンダー!Print_Area</vt:lpstr>
      <vt:lpstr>'入力表（利用申込のない夜間閉館）'!Print_Area</vt:lpstr>
      <vt:lpstr>'様式１（区への申請用）'!Print_Area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H.T</dc:creator>
  <cp:lastModifiedBy>地域交流 洋光台CP</cp:lastModifiedBy>
  <cp:lastPrinted>2026-02-11T05:43:03Z</cp:lastPrinted>
  <dcterms:created xsi:type="dcterms:W3CDTF">2020-10-23T09:21:05Z</dcterms:created>
  <dcterms:modified xsi:type="dcterms:W3CDTF">2026-02-11T06:00:41Z</dcterms:modified>
</cp:coreProperties>
</file>